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4065" firstSheet="2" activeTab="2"/>
  </bookViews>
  <sheets>
    <sheet name="BExRepositorySheet" sheetId="1" state="veryHidden" r:id="rId1"/>
    <sheet name="SNVeryHiddenParameterSheet" sheetId="2" state="veryHidden" r:id="rId2"/>
    <sheet name="P&amp;L - Group" sheetId="3" r:id="rId3"/>
    <sheet name="CF - Group" sheetId="4" r:id="rId4"/>
    <sheet name="Balance sheet - Group" sheetId="5" r:id="rId5"/>
    <sheet name="P&amp;L - Company" sheetId="6" r:id="rId6"/>
    <sheet name="CF - Company" sheetId="7" r:id="rId7"/>
    <sheet name="Balance sheet - Company" sheetId="8" r:id="rId8"/>
    <sheet name="Production volume" sheetId="9" r:id="rId9"/>
    <sheet name="Sales volume" sheetId="10" r:id="rId10"/>
  </sheets>
  <definedNames>
    <definedName name="ausgabe_RZIS" localSheetId="2">'P&amp;L - Group'!$A$10:$H$38</definedName>
    <definedName name="ausgabe_RZIS">#REF!</definedName>
    <definedName name="jahr" localSheetId="2">'P&amp;L - Group'!#REF!</definedName>
    <definedName name="jahr">#REF!</definedName>
    <definedName name="name_1" localSheetId="2">'P&amp;L - Group'!#REF!</definedName>
    <definedName name="name_1">#REF!</definedName>
    <definedName name="_xlnm.Print_Area" localSheetId="2">'P&amp;L - Group'!$B$1:$AB$71</definedName>
    <definedName name="prog_1_POKRESBIEZACY04" localSheetId="2">'P&amp;L - Group'!#REF!</definedName>
    <definedName name="prog_1_POKRESBIEZACY04">#REF!</definedName>
    <definedName name="prog_1_POKRESPOPRZEDNI05" localSheetId="2">'P&amp;L - Group'!#REF!</definedName>
    <definedName name="prog_1_POKRESPOPRZEDNI05">#REF!</definedName>
    <definedName name="prog_2_POKRESBIEZACY04" localSheetId="2">'P&amp;L - Group'!#REF!</definedName>
    <definedName name="prog_2_POKRESBIEZACY04">#REF!</definedName>
    <definedName name="prog_2_POKRESPOPRZEDNI05" localSheetId="2">'P&amp;L - Group'!#REF!</definedName>
    <definedName name="prog_2_POKRESPOPRZEDNI05">#REF!</definedName>
    <definedName name="prog_3_POKRESBIEZACY04" localSheetId="2">'P&amp;L - Group'!#REF!</definedName>
    <definedName name="prog_3_POKRESBIEZACY04">#REF!</definedName>
    <definedName name="prog_3_POKRESPOPRZEDNI05" localSheetId="2">'P&amp;L - Group'!#REF!</definedName>
    <definedName name="prog_3_POKRESPOPRZEDNI05">#REF!</definedName>
    <definedName name="spalte_wert_1" localSheetId="2">'P&amp;L - Group'!#REF!</definedName>
    <definedName name="spalte_wert_1">#REF!</definedName>
    <definedName name="spalte_wert_2" localSheetId="2">'P&amp;L - Group'!#REF!</definedName>
    <definedName name="spalte_wert_2">#REF!</definedName>
    <definedName name="spalte_wert_3" localSheetId="2">'P&amp;L - Group'!#REF!</definedName>
    <definedName name="spalte_wert_3">#REF!</definedName>
    <definedName name="stichtag" localSheetId="2">'P&amp;L - Group'!#REF!</definedName>
    <definedName name="stichtag">#REF!</definedName>
    <definedName name="value_1_POKRESBIEZACY04" localSheetId="2">'P&amp;L - Group'!#REF!</definedName>
    <definedName name="value_1_POKRESBIEZACY04">#REF!</definedName>
    <definedName name="value_1_POKRESPOPRZEDNI05" localSheetId="2">'P&amp;L - Group'!$H:$H</definedName>
    <definedName name="value_1_POKRESPOPRZEDNI05">#REF!</definedName>
    <definedName name="value_2_POKRESBIEZACY04" localSheetId="2">'P&amp;L - Group'!#REF!</definedName>
    <definedName name="value_2_POKRESBIEZACY04">#REF!</definedName>
    <definedName name="value_2_POKRESPOPRZEDNI05" localSheetId="2">'P&amp;L - Group'!#REF!</definedName>
    <definedName name="value_2_POKRESPOPRZEDNI05">#REF!</definedName>
    <definedName name="value_3_POKRESBIEZACY04" localSheetId="2">'P&amp;L - Group'!#REF!</definedName>
    <definedName name="value_3_POKRESBIEZACY04">#REF!</definedName>
    <definedName name="value_3_POKRESPOPRZEDNI05" localSheetId="2">'P&amp;L - Group'!#REF!</definedName>
    <definedName name="value_3_POKRESPOPRZEDNI05">#REF!</definedName>
    <definedName name="vorjahr" localSheetId="2">'P&amp;L - Group'!#REF!</definedName>
    <definedName name="vorjahr">#REF!</definedName>
  </definedNames>
  <calcPr fullCalcOnLoad="1"/>
</workbook>
</file>

<file path=xl/sharedStrings.xml><?xml version="1.0" encoding="utf-8"?>
<sst xmlns="http://schemas.openxmlformats.org/spreadsheetml/2006/main" count="517" uniqueCount="241">
  <si>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</si>
  <si>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</si>
  <si>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</si>
  <si>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</si>
  <si>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</si>
  <si>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</si>
  <si>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</si>
  <si>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</si>
  <si>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</si>
  <si>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</si>
  <si>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</si>
  <si>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</si>
  <si>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 xml:space="preserve">     KGHM Polska Miedź S.A.</t>
  </si>
  <si>
    <t xml:space="preserve">     KGHM INTERNATIONAL LTD.</t>
  </si>
  <si>
    <t xml:space="preserve">     Sierra Gorda S.C.M.</t>
  </si>
  <si>
    <t>-</t>
  </si>
  <si>
    <t>1Q17</t>
  </si>
  <si>
    <t>2Q17</t>
  </si>
  <si>
    <t>2015</t>
  </si>
  <si>
    <t>2016</t>
  </si>
  <si>
    <t>3Q17</t>
  </si>
  <si>
    <t>4Q17</t>
  </si>
  <si>
    <t>KGHM Polska Miedź S.A.</t>
  </si>
  <si>
    <t>KGHM INTERNATIONAL LTD.</t>
  </si>
  <si>
    <t>Sierra Gorda S.C.M. (55%)</t>
  </si>
  <si>
    <t>Zmiana (2016 do 2015)</t>
  </si>
  <si>
    <t>119,6</t>
  </si>
  <si>
    <t>Sierra Gorda S.C.M. – segment (55%)</t>
  </si>
  <si>
    <t>1Q18</t>
  </si>
  <si>
    <t>ND</t>
  </si>
  <si>
    <t>2Q18</t>
  </si>
  <si>
    <t xml:space="preserve">                                            </t>
  </si>
  <si>
    <t>1,83**</t>
  </si>
  <si>
    <t>1,83*</t>
  </si>
  <si>
    <t>1,80*</t>
  </si>
  <si>
    <t>3Q18</t>
  </si>
  <si>
    <t>x</t>
  </si>
  <si>
    <t xml:space="preserve"> -</t>
  </si>
  <si>
    <t>4Q18</t>
  </si>
  <si>
    <t>IVQ'18</t>
  </si>
  <si>
    <t>FINANCIAL DATA - REVENUES AND COSTS OF THE KGHM Polska Miedź S.A. GROUP (in mn PLN)</t>
  </si>
  <si>
    <t>BASIC MACROECONOMIC PARAMETERS</t>
  </si>
  <si>
    <t>Copper price (USD/t)</t>
  </si>
  <si>
    <t>Silver price (USD/oz t)</t>
  </si>
  <si>
    <t>USD/PLN exchange rate (average for the period)</t>
  </si>
  <si>
    <t>USD/PLN exchange rate (end of period)</t>
  </si>
  <si>
    <t>STATEMENT OF PROFIT OR LOSS</t>
  </si>
  <si>
    <t>Revenue from contracts with customers, of which:</t>
  </si>
  <si>
    <t>Cost of sales</t>
  </si>
  <si>
    <t>Gross profit / (loss)</t>
  </si>
  <si>
    <t xml:space="preserve">Selling costs </t>
  </si>
  <si>
    <t>Administrative expenses</t>
  </si>
  <si>
    <t>Profit / (Loss) on sales (EBIT), of which:</t>
  </si>
  <si>
    <t>Profit or loss on involvement in joint ventures</t>
  </si>
  <si>
    <t xml:space="preserve">Profit / (loss) from the measurement of joint ventures accounted for using the equity method </t>
  </si>
  <si>
    <t>Other operating income / (costs)</t>
  </si>
  <si>
    <t>Other financial income / (costs)</t>
  </si>
  <si>
    <t xml:space="preserve">(Allowances) / reversal of allowances for impairment on loans granted to joint ventures </t>
  </si>
  <si>
    <t>Impairment loss on interests in joint ventures</t>
  </si>
  <si>
    <t>Interest on loans granted to joint ventures</t>
  </si>
  <si>
    <t>Other operating income and (costs)</t>
  </si>
  <si>
    <t>Impairment losses on non-financial assets</t>
  </si>
  <si>
    <t>Gains / (losses) due to exchange differences on assets and liabilities other than borrowings</t>
  </si>
  <si>
    <t>Measurement and realisation of derivatives</t>
  </si>
  <si>
    <t>Finance income and (costs)</t>
  </si>
  <si>
    <t>Measurement of derivatives</t>
  </si>
  <si>
    <t>Interest on borrowings</t>
  </si>
  <si>
    <t>Gains / (losses) due to exchange differences on borrowings</t>
  </si>
  <si>
    <t>Profit / (Loss) before income tax</t>
  </si>
  <si>
    <t>Income tax expense</t>
  </si>
  <si>
    <t xml:space="preserve"> PROFIT / (LOSS) FOR THE PERIOD</t>
  </si>
  <si>
    <t>Depreciation/amortisation recognised in profit or loss</t>
  </si>
  <si>
    <t>EBITDA  (EBIT + depreciation/amortisation)</t>
  </si>
  <si>
    <r>
      <t xml:space="preserve">Adjusted EBITDA
</t>
    </r>
    <r>
      <rPr>
        <sz val="7"/>
        <rFont val="Open Sans"/>
        <family val="2"/>
      </rPr>
      <t>(EBITDA + impairment losses / reversal of impairment losses
recognised in cost of sales, selling costs and administrative expenses), of which:</t>
    </r>
  </si>
  <si>
    <r>
      <t xml:space="preserve">EBITDA margin*
</t>
    </r>
    <r>
      <rPr>
        <sz val="7"/>
        <rFont val="Open Sans"/>
        <family val="2"/>
      </rPr>
      <t>(Adjusted EBITDA to revenue from sales with customers)</t>
    </r>
  </si>
  <si>
    <t>*For the purposes of calculating the Group’s EBITDA margin, consolidated sales revenue was increased by the sales revenue of the segment Sierra Gorda S.C.M.</t>
  </si>
  <si>
    <t>C1 cash cost of producing copper in concentrate (USD/lb)</t>
  </si>
  <si>
    <t>EXPENSES BY NATURE OF THE GROUP</t>
  </si>
  <si>
    <t>Depreciation of property, plant and equipment and amortisation of intangible assets</t>
  </si>
  <si>
    <t>Employee benefits expenses</t>
  </si>
  <si>
    <t>Materials and energy</t>
  </si>
  <si>
    <t>External services</t>
  </si>
  <si>
    <t>Minerals extraction tax</t>
  </si>
  <si>
    <t>Other taxes and charges</t>
  </si>
  <si>
    <t>(Reversals of)/impairment losses on non-current assets and intangible assets</t>
  </si>
  <si>
    <t>Other costs</t>
  </si>
  <si>
    <t>Total expenses by nature</t>
  </si>
  <si>
    <t>Cost of merchandise and materials sold (+)</t>
  </si>
  <si>
    <t>Change in inventories of finished goods and work in progress (+/-)</t>
  </si>
  <si>
    <t>Cost of manufacturing products for internal use by the Group (-) 
(mainly pre-stripping costs in open-pit mines)</t>
  </si>
  <si>
    <t>Costs of sales, selling costs and administrative expenses</t>
  </si>
  <si>
    <t>* C1 cost for the first quarter of 2018 was adjusted by the change in depreciation/amortisation adjusting the cash cost of producing concentrate</t>
  </si>
  <si>
    <t>FINANCIAL DATA - STATEMENT OF CASH FLOWS OF THE KGHM Polska Miedź S.A. GROUP (in mn PLN)</t>
  </si>
  <si>
    <t>Share of losses of joint ventures accounted for using the equity method</t>
  </si>
  <si>
    <t xml:space="preserve">Allowances / (reversal of allowances) for impairment on loans granted to joint ventures </t>
  </si>
  <si>
    <t>Interest income on loans granted to joint ventures</t>
  </si>
  <si>
    <t>Interest and other costs of borrowings</t>
  </si>
  <si>
    <t>Other impairment losses / (reversal of impairment losses) on non-current assets</t>
  </si>
  <si>
    <t>Other adjustments</t>
  </si>
  <si>
    <t>Exclusions of income and costs, total</t>
  </si>
  <si>
    <t>Income tax paid</t>
  </si>
  <si>
    <t>Changes in working capital</t>
  </si>
  <si>
    <t>Net cash generated from operating activities</t>
  </si>
  <si>
    <t>Cash expenditures on mining and metallurgical assets</t>
  </si>
  <si>
    <t>Cash expenditures on other property, plant and equipment and intangible assets</t>
  </si>
  <si>
    <t>Loans granted to joint ventures</t>
  </si>
  <si>
    <t>Acquisition of newly-issued shares in joint ventures</t>
  </si>
  <si>
    <t>Other income / (expenses)</t>
  </si>
  <si>
    <t>Net cash used in investing activities</t>
  </si>
  <si>
    <t>Proceeds from borrowings</t>
  </si>
  <si>
    <t>Repayments of borrowings</t>
  </si>
  <si>
    <t>Dividends paid to shareholders of the Parent Entity</t>
  </si>
  <si>
    <t>Net cash generated from financing activities</t>
  </si>
  <si>
    <t>Other (expenses) / income</t>
  </si>
  <si>
    <t>TOTAL NET CASH FLOW</t>
  </si>
  <si>
    <t>Exchange gains/(losses) on cash and cash equivalents</t>
  </si>
  <si>
    <t>Cash and cash equivalents at the beginning of the period</t>
  </si>
  <si>
    <t>Cash and cash equivalents at the end of the period</t>
  </si>
  <si>
    <t>CASH EXPENDITURES ON PROPERTY, PLANT AND EQUIPMENT AND INTANGIBLE ASSETS OF THE MAIN  SEGMENTS:</t>
  </si>
  <si>
    <t>FINANCIAL DATA - STATEMENT OF FINANCIAL POSITION OF THE KGHM Polska Miedź S.A. GROUP (in mn PLN)</t>
  </si>
  <si>
    <t>ASSETS</t>
  </si>
  <si>
    <t>Mining and metallurgical property, plant and equipment</t>
  </si>
  <si>
    <t>Mining and metallurgical intangible assets</t>
  </si>
  <si>
    <t>Mining and metallurgical property, plant and equipment and intangible assets</t>
  </si>
  <si>
    <t xml:space="preserve">Other property, plant and equipment </t>
  </si>
  <si>
    <t>Other intangible assets</t>
  </si>
  <si>
    <t>Other property, plant and equipment and intangible assets</t>
  </si>
  <si>
    <t>Joint ventures accounted for using the equity method</t>
  </si>
  <si>
    <t>Total involvement in joint ventures</t>
  </si>
  <si>
    <t>Derivatives</t>
  </si>
  <si>
    <t>Other financial instruments measured at fair value</t>
  </si>
  <si>
    <t>Other financial assets</t>
  </si>
  <si>
    <t>Financial instruments, total</t>
  </si>
  <si>
    <t>Deferred tax assets</t>
  </si>
  <si>
    <t>Other non-financial assets</t>
  </si>
  <si>
    <t>Non-current assets</t>
  </si>
  <si>
    <t>Inventories</t>
  </si>
  <si>
    <t>Trade receivables</t>
  </si>
  <si>
    <t>Tax assets</t>
  </si>
  <si>
    <t>Other assets</t>
  </si>
  <si>
    <t>Cash and cash equivalents</t>
  </si>
  <si>
    <t>Current assets</t>
  </si>
  <si>
    <t>Total assets</t>
  </si>
  <si>
    <t>EQUITY AND LIABILITIES</t>
  </si>
  <si>
    <t>Share capital</t>
  </si>
  <si>
    <t>Other reserves from measurement of financial instruments</t>
  </si>
  <si>
    <t>Accumulated other comprehensive income</t>
  </si>
  <si>
    <t>Retained earnings</t>
  </si>
  <si>
    <t>Equity attributable to shareholders of the Parent Entity</t>
  </si>
  <si>
    <t>Equity attributable to non-controlling interest</t>
  </si>
  <si>
    <t>Equity</t>
  </si>
  <si>
    <t xml:space="preserve">Borrowings </t>
  </si>
  <si>
    <t>Employee benefits liabilities</t>
  </si>
  <si>
    <t>Provisions for decommissioning costs of mines and other technological facilities</t>
  </si>
  <si>
    <t>Deferred tax liabilities</t>
  </si>
  <si>
    <t>Other liabilities</t>
  </si>
  <si>
    <t>Non-current liabilities</t>
  </si>
  <si>
    <t>Borrowings</t>
  </si>
  <si>
    <t>Trade payables</t>
  </si>
  <si>
    <t>Tax liabilities</t>
  </si>
  <si>
    <t>Current liabilities</t>
  </si>
  <si>
    <t>Non-current and current liabilities</t>
  </si>
  <si>
    <t>Total equity and liabilities</t>
  </si>
  <si>
    <t>FINANCIAL DATA - REVENUES AND COSTS OF KGHM Polska Miedź S.A. (in mn PLN)</t>
  </si>
  <si>
    <t>Copper</t>
  </si>
  <si>
    <t>Silver</t>
  </si>
  <si>
    <t>Profit / (Loss) on sales (EBIT)</t>
  </si>
  <si>
    <t>(Impairment losses) / reversal of impairment losses</t>
  </si>
  <si>
    <t>Gains / (losses) due to exchange differences on the measurement of assets and liabilities other than borrowings</t>
  </si>
  <si>
    <t>Interest on loans granted</t>
  </si>
  <si>
    <t>Interest on loans granted and other financial receivables</t>
  </si>
  <si>
    <t>Gains / (losses) from changes in the fair value of financial assets measured at fair value through profit or loss*</t>
  </si>
  <si>
    <t>Bank fees and charges on borrowings</t>
  </si>
  <si>
    <t>Other finance income and (costs)</t>
  </si>
  <si>
    <t>Profit before income tax</t>
  </si>
  <si>
    <t>PROFIT FOR THE PERIOD</t>
  </si>
  <si>
    <r>
      <t xml:space="preserve">EBITDA  </t>
    </r>
    <r>
      <rPr>
        <sz val="7"/>
        <rFont val="Open Sans"/>
        <family val="2"/>
      </rPr>
      <t>(EBIT + depreciation/amortisation)</t>
    </r>
  </si>
  <si>
    <r>
      <rPr>
        <b/>
        <sz val="7"/>
        <rFont val="Open Sans"/>
        <family val="2"/>
      </rPr>
      <t xml:space="preserve">Adjusted EBITDA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7"/>
        <rFont val="Open Sans"/>
        <family val="2"/>
      </rPr>
      <t xml:space="preserve"> (EBITDA + impairment losses (reversal of impairment losses)
recognised in cost of sales, selling costs and administrative expenses)</t>
    </r>
  </si>
  <si>
    <t xml:space="preserve"> Expenses by nature</t>
  </si>
  <si>
    <t>Materials and energy, of which:</t>
  </si>
  <si>
    <t>Purchased metal-bearing materials</t>
  </si>
  <si>
    <t>Electrical and other energy</t>
  </si>
  <si>
    <t>External services, of which:</t>
  </si>
  <si>
    <t>Transport</t>
  </si>
  <si>
    <t>Repairs, maintenance and servicing</t>
  </si>
  <si>
    <t>Mine preparatory work</t>
  </si>
  <si>
    <t xml:space="preserve">Cost of manufacturing products for internal use (-) </t>
  </si>
  <si>
    <t>*NA - not applicable - items which were not measured in accordance with principles arising from the application, from 1 January 2018, of IFRS 9</t>
  </si>
  <si>
    <t>FINANCIAL DATA - STATEMENT OF CASH FLOWS OF KGHM Polska Miedź S.A. ( in mn PLN)</t>
  </si>
  <si>
    <t>Impairment losses / (reversal of impairment losses) on non-current assets</t>
  </si>
  <si>
    <t xml:space="preserve">Gains due to changes in the fair value of loans measured at fair value through profit or loss </t>
  </si>
  <si>
    <t>Expenditures on mining and metallurgical assets</t>
  </si>
  <si>
    <t>Expenditures on other property, plant and equipment and intangible assets</t>
  </si>
  <si>
    <t>Loans granted</t>
  </si>
  <si>
    <t>Dividends paid</t>
  </si>
  <si>
    <t xml:space="preserve">Interest and other costs </t>
  </si>
  <si>
    <t>FINANCIAL DATA - STATEMENT OF FINANCIAL POSITION OF KGHM Polska Miedź S.A. (in mn PLN)</t>
  </si>
  <si>
    <t>Investments in subsidiaries and joint ventures</t>
  </si>
  <si>
    <t xml:space="preserve">Derivatives </t>
  </si>
  <si>
    <t>Cash pool liabilities</t>
  </si>
  <si>
    <t>PRODUCTION OF BASIC GROUP PRODUCTS</t>
  </si>
  <si>
    <t>Electrolytic copper (kt)</t>
  </si>
  <si>
    <t>Wire rod, OFE and CuAg rod (kt)</t>
  </si>
  <si>
    <t>Round billets (kt)</t>
  </si>
  <si>
    <t>Metallic silver (t)</t>
  </si>
  <si>
    <t>Metallic gold (koz t)</t>
  </si>
  <si>
    <t>Refined lead (kt)</t>
  </si>
  <si>
    <t>KGHM INTERNATIONAL LTD. Group</t>
  </si>
  <si>
    <t>Copper* (kt)</t>
  </si>
  <si>
    <t>Nickel (kt)</t>
  </si>
  <si>
    <t>Precious metals** (koz t)</t>
  </si>
  <si>
    <t>Molybdenum (mn lbs)</t>
  </si>
  <si>
    <t>Precious metals*** (koz t)</t>
  </si>
  <si>
    <t>* copper in the form of cathodes, payable copper in concentrate, payable copper in ore</t>
  </si>
  <si>
    <t>** gold, platinum, palladium</t>
  </si>
  <si>
    <t>*** gold</t>
  </si>
  <si>
    <t>1Q'16</t>
  </si>
  <si>
    <t>2Q'16</t>
  </si>
  <si>
    <t>3Q'16</t>
  </si>
  <si>
    <t>4Q'16</t>
  </si>
  <si>
    <t>Change (2016 to 2015)</t>
  </si>
  <si>
    <t>1Q'17</t>
  </si>
  <si>
    <t>2Q'17</t>
  </si>
  <si>
    <t>3Q'17</t>
  </si>
  <si>
    <t>4Q'17</t>
  </si>
  <si>
    <t>Change (2017 to 2016)</t>
  </si>
  <si>
    <t>1Q'18</t>
  </si>
  <si>
    <t>2Q'18</t>
  </si>
  <si>
    <t>3Q'18</t>
  </si>
  <si>
    <t>Change (4Q'18 to 4Q'17)</t>
  </si>
  <si>
    <t>Change (2018 to 2017)</t>
  </si>
  <si>
    <t>SALES VOLUMES OF BASIC GROUP PRODUCTS</t>
  </si>
  <si>
    <t>Cathodes and cathode parts (kt)</t>
  </si>
  <si>
    <t>Copper wire rod and OFE rod (kt)</t>
  </si>
  <si>
    <t>Payable copper in concentrate (kt)</t>
  </si>
  <si>
    <t>Other copper products (kt)</t>
  </si>
  <si>
    <t>Total copper and copper products (kt)</t>
  </si>
  <si>
    <t>Payable silver in concentrate (t)</t>
  </si>
  <si>
    <t>Metallic gold (kg)</t>
  </si>
  <si>
    <t>* copper in the form of copper cathodes, payable copper in concentrate, payable copper in ore</t>
  </si>
  <si>
    <t>4Q'18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</si>
</sst>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(#,##0\)"/>
    <numFmt numFmtId="165" formatCode="#,###"/>
    <numFmt numFmtId="166" formatCode="#,##0.00\ &quot;zł&quot;"/>
    <numFmt numFmtId="167" formatCode="_-* #,##0.00\ _D_M_-;\-* #,##0.00\ _D_M_-;_-* &quot;-&quot;??\ _D_M_-;_-@_-"/>
    <numFmt numFmtId="168" formatCode="_-* #,##0\ _D_M_-;\-* #,##0\ _D_M_-;_-* &quot;-&quot;\ _D_M_-;_-@_-"/>
    <numFmt numFmtId="169" formatCode="_-* #,##0.00\ &quot;DM&quot;_-;\-* #,##0.00\ &quot;DM&quot;_-;_-* &quot;-&quot;??\ &quot;DM&quot;_-;_-@_-"/>
    <numFmt numFmtId="170" formatCode="_-* #,##0\ &quot;DM&quot;_-;\-* #,##0\ &quot;DM&quot;_-;_-* &quot;-&quot;\ &quot;DM&quot;_-;_-@_-"/>
    <numFmt numFmtId="171" formatCode="#,##0.000"/>
    <numFmt numFmtId="172" formatCode="#,##0.0000"/>
    <numFmt numFmtId="173" formatCode="#,##0.0"/>
    <numFmt numFmtId="174" formatCode="#,##0;\(#,##0\);\-"/>
    <numFmt numFmtId="175" formatCode="#,##0.00;\(#,##0.00\)"/>
    <numFmt numFmtId="176" formatCode="#\ ##0;\(#\ ##0\);\-"/>
    <numFmt numFmtId="177" formatCode="[$-415]d\ mmmm\ yyyy"/>
    <numFmt numFmtId="178" formatCode="00\-000"/>
    <numFmt numFmtId="179" formatCode="#\ ##0.00;\(#\ ##0.00\);\-"/>
    <numFmt numFmtId="180" formatCode="#\ ##0.00;\(###0.00\);\-"/>
    <numFmt numFmtId="181" formatCode="#\ ##0;\(###0\);\-"/>
    <numFmt numFmtId="182" formatCode="#.0\ ##0;\(#.0\ ##0\);\-"/>
    <numFmt numFmtId="183" formatCode="#.00\ ##0;\(#.00\ ##0\);\-"/>
    <numFmt numFmtId="184" formatCode="#,##0;\ \(#,##0\);\-"/>
    <numFmt numFmtId="185" formatCode="0.0"/>
    <numFmt numFmtId="186" formatCode="0.0%"/>
    <numFmt numFmtId="187" formatCode="&quot;Tak&quot;;&quot;Tak&quot;;&quot;Nie&quot;"/>
    <numFmt numFmtId="188" formatCode="&quot;Prawda&quot;;&quot;Prawda&quot;;&quot;Fałsz&quot;"/>
    <numFmt numFmtId="189" formatCode="&quot;Włączone&quot;;&quot;Włączone&quot;;&quot;Wyłączone&quot;"/>
    <numFmt numFmtId="190" formatCode="[$€-2]\ #,##0.00_);[Red]\([$€-2]\ #,##0.00\)"/>
  </numFmts>
  <fonts count="77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3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7"/>
      <name val="Open Sans"/>
      <family val="2"/>
    </font>
    <font>
      <b/>
      <sz val="7"/>
      <name val="Open Sans"/>
      <family val="2"/>
    </font>
    <font>
      <sz val="10"/>
      <name val="Open Sans"/>
      <family val="2"/>
    </font>
    <font>
      <b/>
      <sz val="7.5"/>
      <name val="Verdana"/>
      <family val="2"/>
    </font>
    <font>
      <sz val="7.5"/>
      <name val="Verdana"/>
      <family val="2"/>
    </font>
    <font>
      <i/>
      <sz val="7.5"/>
      <name val="Verdana"/>
      <family val="2"/>
    </font>
    <font>
      <b/>
      <sz val="7"/>
      <color indexed="9"/>
      <name val="Open Sans"/>
      <family val="2"/>
    </font>
    <font>
      <sz val="7"/>
      <color indexed="9"/>
      <name val="Open Sans"/>
      <family val="2"/>
    </font>
    <font>
      <b/>
      <sz val="7"/>
      <color indexed="21"/>
      <name val="Open Sans"/>
      <family val="2"/>
    </font>
    <font>
      <sz val="7"/>
      <color indexed="8"/>
      <name val="Open Sans"/>
      <family val="2"/>
    </font>
    <font>
      <sz val="7"/>
      <color indexed="60"/>
      <name val="Open Sans"/>
      <family val="2"/>
    </font>
    <font>
      <b/>
      <sz val="7"/>
      <color indexed="60"/>
      <name val="Open Sans"/>
      <family val="2"/>
    </font>
    <font>
      <sz val="7"/>
      <color indexed="21"/>
      <name val="Open Sans"/>
      <family val="2"/>
    </font>
    <font>
      <b/>
      <u val="single"/>
      <sz val="7"/>
      <color indexed="21"/>
      <name val="Open Sans"/>
      <family val="2"/>
    </font>
    <font>
      <b/>
      <sz val="7"/>
      <color indexed="8"/>
      <name val="Open Sans"/>
      <family val="2"/>
    </font>
    <font>
      <sz val="6"/>
      <color indexed="8"/>
      <name val="Open Sans"/>
      <family val="2"/>
    </font>
    <font>
      <b/>
      <sz val="6"/>
      <color indexed="8"/>
      <name val="Open Sans"/>
      <family val="2"/>
    </font>
    <font>
      <b/>
      <sz val="2"/>
      <color indexed="8"/>
      <name val="Open Sans"/>
      <family val="2"/>
    </font>
    <font>
      <b/>
      <sz val="7"/>
      <color theme="0"/>
      <name val="Open Sans"/>
      <family val="2"/>
    </font>
    <font>
      <sz val="7"/>
      <color theme="0"/>
      <name val="Open Sans"/>
      <family val="2"/>
    </font>
    <font>
      <b/>
      <sz val="11"/>
      <color theme="1"/>
      <name val="Calibri"/>
      <family val="2"/>
    </font>
    <font>
      <b/>
      <sz val="7"/>
      <color rgb="FF00A082"/>
      <name val="Open Sans"/>
      <family val="2"/>
    </font>
    <font>
      <sz val="7"/>
      <color rgb="FF000000"/>
      <name val="Open Sans"/>
      <family val="2"/>
    </font>
    <font>
      <sz val="7"/>
      <color rgb="FF993300"/>
      <name val="Open Sans"/>
      <family val="2"/>
    </font>
    <font>
      <b/>
      <sz val="7"/>
      <color rgb="FF993300"/>
      <name val="Open Sans"/>
      <family val="2"/>
    </font>
    <font>
      <sz val="7"/>
      <color theme="1"/>
      <name val="Open Sans"/>
      <family val="2"/>
    </font>
    <font>
      <sz val="7"/>
      <color rgb="FF00A082"/>
      <name val="Open Sans"/>
      <family val="2"/>
    </font>
    <font>
      <b/>
      <u val="single"/>
      <sz val="7"/>
      <color rgb="FF00A082"/>
      <name val="Open Sans"/>
      <family val="2"/>
    </font>
    <font>
      <b/>
      <sz val="7"/>
      <color rgb="FF000000"/>
      <name val="Open Sans"/>
      <family val="2"/>
    </font>
    <font>
      <b/>
      <sz val="7"/>
      <color theme="1"/>
      <name val="Open Sans"/>
      <family val="2"/>
    </font>
    <font>
      <sz val="6"/>
      <color theme="1"/>
      <name val="Open Sans"/>
      <family val="2"/>
    </font>
    <font>
      <b/>
      <sz val="6"/>
      <color theme="1"/>
      <name val="Open Sans"/>
      <family val="2"/>
    </font>
    <font>
      <b/>
      <sz val="2"/>
      <color theme="1"/>
      <name val="Open Sans"/>
      <family val="2"/>
    </font>
  </fonts>
  <fills count="51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6E6E6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1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>
        <color theme="0" tint="-0.3499799966812134"/>
      </right>
      <top/>
      <bottom style="thin">
        <color theme="0"/>
      </bottom>
    </border>
    <border>
      <left/>
      <right style="thin">
        <color theme="0" tint="-0.3499799966812134"/>
      </right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>
        <color rgb="FF6E6E6E"/>
      </bottom>
    </border>
    <border>
      <left/>
      <right/>
      <top style="thin">
        <color rgb="FF6E6E6E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/>
      <top style="thin">
        <color theme="0" tint="-0.3499799966812134"/>
      </top>
      <bottom style="thin">
        <color theme="0" tint="-0.3499799966812134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>
        <color rgb="FF6E6E6E"/>
      </bottom>
    </border>
    <border>
      <left style="thin"/>
      <right/>
      <top/>
      <bottom style="thin">
        <color theme="0" tint="-0.3499799966812134"/>
      </bottom>
    </border>
    <border>
      <left style="thin"/>
      <right/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>
        <color theme="0" tint="-0.4999699890613556"/>
      </top>
      <bottom>
        <color indexed="63"/>
      </bottom>
    </border>
    <border>
      <left style="thin"/>
      <right/>
      <top style="thin">
        <color theme="0" tint="-0.3499799966812134"/>
      </top>
      <bottom>
        <color indexed="63"/>
      </bottom>
    </border>
    <border>
      <left style="thin"/>
      <right/>
      <top style="thin">
        <color theme="0" tint="-0.3499799966812134"/>
      </top>
      <bottom style="thin">
        <color theme="0" tint="-0.24997000396251678"/>
      </bottom>
    </border>
    <border>
      <left style="thin"/>
      <right/>
      <top>
        <color indexed="63"/>
      </top>
      <bottom style="thin">
        <color theme="0" tint="-0.24997000396251678"/>
      </bottom>
    </border>
    <border>
      <left/>
      <right/>
      <top style="medium"/>
      <bottom style="medium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 tint="-0.3499799966812134"/>
      </right>
      <top style="thin"/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 style="thin">
        <color theme="0" tint="-0.3499799966812134"/>
      </left>
      <right/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/>
      </right>
      <top style="thin"/>
      <bottom style="thin"/>
    </border>
    <border>
      <left>
        <color indexed="63"/>
      </left>
      <right style="thin">
        <color theme="0"/>
      </right>
      <top style="thin"/>
      <bottom/>
    </border>
    <border>
      <left>
        <color indexed="63"/>
      </left>
      <right style="thin">
        <color theme="0"/>
      </right>
      <top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theme="0" tint="-0.3499799966812134"/>
      </right>
      <top style="thin"/>
      <bottom style="thin"/>
    </border>
    <border>
      <left>
        <color indexed="63"/>
      </left>
      <right style="thin">
        <color theme="0" tint="-0.3499799966812134"/>
      </right>
      <top>
        <color indexed="63"/>
      </top>
      <bottom style="thin"/>
    </border>
    <border>
      <left style="thin">
        <color theme="0"/>
      </left>
      <right style="thin">
        <color theme="0" tint="-0.3499799966812134"/>
      </right>
      <top style="thin"/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/>
    </border>
    <border>
      <left/>
      <right/>
      <top style="thin">
        <color theme="0" tint="-0.4999699890613556"/>
      </top>
      <bottom style="thin">
        <color theme="0" tint="-0.349979996681213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/>
      <right style="thin">
        <color theme="0" tint="-0.3499799966812134"/>
      </right>
      <top style="thin">
        <color theme="0"/>
      </top>
      <bottom/>
    </border>
    <border>
      <left style="thin"/>
      <right style="thin">
        <color theme="0" tint="-0.3499799966812134"/>
      </right>
      <top/>
      <bottom/>
    </border>
    <border>
      <left style="thin"/>
      <right style="thin">
        <color theme="0" tint="-0.3499799966812134"/>
      </right>
      <top/>
      <bottom style="thin">
        <color theme="0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 style="thin"/>
      <right style="thin">
        <color theme="0" tint="-0.3499799966812134"/>
      </right>
      <top style="thin"/>
      <bottom style="thin"/>
    </border>
    <border>
      <left style="thin">
        <color theme="0"/>
      </left>
      <right style="thin"/>
      <top style="thin"/>
      <bottom/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/>
      <top style="thin">
        <color theme="0"/>
      </top>
      <bottom style="thin">
        <color theme="0" tint="-0.3499799966812134"/>
      </bottom>
    </border>
    <border>
      <left style="thin">
        <color theme="0"/>
      </left>
      <right style="thin"/>
      <top/>
      <bottom/>
    </border>
    <border>
      <left style="thin"/>
      <right style="thin">
        <color theme="0" tint="-0.3499799966812134"/>
      </right>
      <top style="thin"/>
      <bottom style="thin">
        <color theme="0"/>
      </bottom>
    </border>
    <border>
      <left style="thin"/>
      <right style="thin">
        <color theme="0" tint="-0.3499799966812134"/>
      </right>
      <top>
        <color indexed="63"/>
      </top>
      <bottom style="thin"/>
    </border>
    <border>
      <left style="thin">
        <color theme="0"/>
      </left>
      <right style="thin"/>
      <top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/>
    </border>
    <border>
      <left/>
      <right style="thin">
        <color theme="0" tint="-0.3499799966812134"/>
      </right>
      <top style="thin">
        <color theme="0"/>
      </top>
      <bottom style="thin">
        <color rgb="FF6E6E6E"/>
      </bottom>
    </border>
    <border>
      <left style="thin">
        <color theme="0"/>
      </left>
      <right style="thin"/>
      <top style="thin"/>
      <bottom style="thin"/>
    </border>
    <border>
      <left style="thin">
        <color theme="0" tint="-0.3499799966812134"/>
      </left>
      <right>
        <color indexed="63"/>
      </right>
      <top style="thin">
        <color theme="0" tint="-0.4999699890613556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4999699890613556"/>
      </top>
      <bottom>
        <color indexed="63"/>
      </bottom>
    </border>
    <border>
      <left/>
      <right style="thin">
        <color theme="0" tint="-0.3499799966812134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3499799966812134"/>
      </bottom>
    </border>
    <border>
      <left style="thin">
        <color theme="0"/>
      </left>
      <right style="thin">
        <color theme="0" tint="-0.4999699890613556"/>
      </right>
      <top style="thin">
        <color theme="0" tint="-0.4999699890613556"/>
      </top>
      <bottom style="thin">
        <color theme="0"/>
      </bottom>
    </border>
    <border>
      <left style="thin">
        <color theme="0" tint="-0.4999699890613556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 tint="-0.4999699890613556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 tint="-0.4999699890613556"/>
      </right>
      <top style="thin">
        <color theme="0"/>
      </top>
      <bottom style="thin">
        <color theme="0"/>
      </bottom>
    </border>
    <border>
      <left style="thin">
        <color theme="0" tint="-0.4999699890613556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/>
      </bottom>
    </border>
    <border>
      <left style="thin">
        <color theme="0" tint="-0.4999699890613556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/>
      </top>
      <bottom>
        <color indexed="63"/>
      </bottom>
    </border>
    <border>
      <left style="thin">
        <color theme="0" tint="-0.4999699890613556"/>
      </left>
      <right/>
      <top/>
      <bottom style="thin">
        <color theme="0" tint="-0.3499799966812134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/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1" tint="0.49998000264167786"/>
      </left>
      <right style="thin">
        <color theme="0" tint="-0.4999699890613556"/>
      </right>
      <top style="thin">
        <color theme="0"/>
      </top>
      <bottom>
        <color indexed="63"/>
      </bottom>
    </border>
    <border>
      <left style="thin">
        <color theme="1" tint="0.49998000264167786"/>
      </left>
      <right style="thin">
        <color theme="0" tint="-0.4999699890613556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rgb="FF6E6E6E"/>
      </bottom>
    </border>
    <border>
      <left style="thin"/>
      <right style="medium"/>
      <top style="medium"/>
      <bottom style="thin"/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9" borderId="0" applyNumberFormat="0" applyBorder="0" applyAlignment="0" applyProtection="0"/>
    <xf numFmtId="0" fontId="29" fillId="30" borderId="0" applyNumberFormat="0" applyBorder="0" applyAlignment="0" applyProtection="0"/>
    <xf numFmtId="0" fontId="29" fillId="28" borderId="0" applyNumberFormat="0" applyBorder="0" applyAlignment="0" applyProtection="0"/>
    <xf numFmtId="0" fontId="29" fillId="31" borderId="0" applyNumberFormat="0" applyBorder="0" applyAlignment="0" applyProtection="0"/>
    <xf numFmtId="0" fontId="5" fillId="18" borderId="0" applyNumberFormat="0" applyBorder="0" applyAlignment="0" applyProtection="0"/>
    <xf numFmtId="0" fontId="6" fillId="32" borderId="1" applyNumberFormat="0" applyAlignment="0" applyProtection="0"/>
    <xf numFmtId="0" fontId="7" fillId="19" borderId="2" applyNumberFormat="0" applyAlignment="0" applyProtection="0"/>
    <xf numFmtId="0" fontId="30" fillId="11" borderId="1" applyNumberFormat="0" applyAlignment="0" applyProtection="0"/>
    <xf numFmtId="0" fontId="31" fillId="5" borderId="3" applyNumberFormat="0" applyAlignment="0" applyProtection="0"/>
    <xf numFmtId="0" fontId="32" fillId="33" borderId="0" applyNumberFormat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37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7" borderId="1" applyNumberFormat="0" applyAlignment="0" applyProtection="0"/>
    <xf numFmtId="0" fontId="33" fillId="0" borderId="7" applyNumberFormat="0" applyFill="0" applyAlignment="0" applyProtection="0"/>
    <xf numFmtId="0" fontId="34" fillId="38" borderId="2" applyNumberFormat="0" applyAlignment="0" applyProtection="0"/>
    <xf numFmtId="0" fontId="16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7" fillId="27" borderId="0" applyNumberFormat="0" applyBorder="0" applyAlignment="0" applyProtection="0"/>
    <xf numFmtId="0" fontId="38" fillId="11" borderId="0" applyNumberFormat="0" applyBorder="0" applyAlignment="0" applyProtection="0"/>
    <xf numFmtId="0" fontId="0" fillId="0" borderId="0">
      <alignment/>
      <protection/>
    </xf>
    <xf numFmtId="0" fontId="0" fillId="26" borderId="11" applyNumberFormat="0" applyFont="0" applyAlignment="0" applyProtection="0"/>
    <xf numFmtId="0" fontId="39" fillId="5" borderId="1" applyNumberFormat="0" applyAlignment="0" applyProtection="0"/>
    <xf numFmtId="0" fontId="18" fillId="0" borderId="0" applyNumberFormat="0" applyFill="0" applyBorder="0" applyAlignment="0" applyProtection="0"/>
    <xf numFmtId="0" fontId="19" fillId="32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0" fillId="39" borderId="12" applyNumberFormat="0" applyProtection="0">
      <alignment vertical="center"/>
    </xf>
    <xf numFmtId="4" fontId="21" fillId="39" borderId="12" applyNumberFormat="0" applyProtection="0">
      <alignment vertical="center"/>
    </xf>
    <xf numFmtId="4" fontId="20" fillId="39" borderId="12" applyNumberFormat="0" applyProtection="0">
      <alignment horizontal="left" vertical="center" indent="1"/>
    </xf>
    <xf numFmtId="0" fontId="20" fillId="39" borderId="12" applyNumberFormat="0" applyProtection="0">
      <alignment horizontal="left" vertical="top" indent="1"/>
    </xf>
    <xf numFmtId="4" fontId="20" fillId="2" borderId="0" applyNumberFormat="0" applyProtection="0">
      <alignment horizontal="left" vertical="center" indent="1"/>
    </xf>
    <xf numFmtId="4" fontId="1" fillId="7" borderId="12" applyNumberFormat="0" applyProtection="0">
      <alignment horizontal="right" vertical="center"/>
    </xf>
    <xf numFmtId="4" fontId="1" fillId="3" borderId="12" applyNumberFormat="0" applyProtection="0">
      <alignment horizontal="right" vertical="center"/>
    </xf>
    <xf numFmtId="4" fontId="1" fillId="29" borderId="12" applyNumberFormat="0" applyProtection="0">
      <alignment horizontal="right" vertical="center"/>
    </xf>
    <xf numFmtId="4" fontId="1" fillId="31" borderId="12" applyNumberFormat="0" applyProtection="0">
      <alignment horizontal="right" vertical="center"/>
    </xf>
    <xf numFmtId="4" fontId="1" fillId="40" borderId="12" applyNumberFormat="0" applyProtection="0">
      <alignment horizontal="right" vertical="center"/>
    </xf>
    <xf numFmtId="4" fontId="1" fillId="41" borderId="12" applyNumberFormat="0" applyProtection="0">
      <alignment horizontal="right" vertical="center"/>
    </xf>
    <xf numFmtId="4" fontId="1" fillId="9" borderId="12" applyNumberFormat="0" applyProtection="0">
      <alignment horizontal="right" vertical="center"/>
    </xf>
    <xf numFmtId="4" fontId="1" fillId="33" borderId="12" applyNumberFormat="0" applyProtection="0">
      <alignment horizontal="right" vertical="center"/>
    </xf>
    <xf numFmtId="4" fontId="1" fillId="42" borderId="12" applyNumberFormat="0" applyProtection="0">
      <alignment horizontal="right" vertical="center"/>
    </xf>
    <xf numFmtId="4" fontId="20" fillId="43" borderId="13" applyNumberFormat="0" applyProtection="0">
      <alignment horizontal="left" vertical="center" indent="1"/>
    </xf>
    <xf numFmtId="4" fontId="1" fillId="44" borderId="0" applyNumberFormat="0" applyProtection="0">
      <alignment horizontal="left" vertical="center" indent="1"/>
    </xf>
    <xf numFmtId="4" fontId="22" fillId="8" borderId="0" applyNumberFormat="0" applyProtection="0">
      <alignment horizontal="left" vertical="center" indent="1"/>
    </xf>
    <xf numFmtId="4" fontId="1" fillId="2" borderId="12" applyNumberFormat="0" applyProtection="0">
      <alignment horizontal="right" vertical="center"/>
    </xf>
    <xf numFmtId="4" fontId="1" fillId="44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8" borderId="12" applyNumberFormat="0" applyProtection="0">
      <alignment horizontal="left" vertical="center" indent="1"/>
    </xf>
    <xf numFmtId="0" fontId="0" fillId="8" borderId="12" applyNumberFormat="0" applyProtection="0">
      <alignment horizontal="left" vertical="top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top" indent="1"/>
    </xf>
    <xf numFmtId="0" fontId="0" fillId="6" borderId="12" applyNumberFormat="0" applyProtection="0">
      <alignment horizontal="left" vertical="center" indent="1"/>
    </xf>
    <xf numFmtId="0" fontId="0" fillId="6" borderId="12" applyNumberFormat="0" applyProtection="0">
      <alignment horizontal="left" vertical="top" indent="1"/>
    </xf>
    <xf numFmtId="0" fontId="0" fillId="44" borderId="12" applyNumberFormat="0" applyProtection="0">
      <alignment horizontal="left" vertical="center" indent="1"/>
    </xf>
    <xf numFmtId="0" fontId="0" fillId="44" borderId="12" applyNumberFormat="0" applyProtection="0">
      <alignment horizontal="left" vertical="top" indent="1"/>
    </xf>
    <xf numFmtId="0" fontId="0" fillId="5" borderId="14" applyNumberFormat="0">
      <alignment/>
      <protection locked="0"/>
    </xf>
    <xf numFmtId="4" fontId="1" fillId="4" borderId="12" applyNumberFormat="0" applyProtection="0">
      <alignment vertical="center"/>
    </xf>
    <xf numFmtId="4" fontId="23" fillId="4" borderId="12" applyNumberFormat="0" applyProtection="0">
      <alignment vertical="center"/>
    </xf>
    <xf numFmtId="4" fontId="1" fillId="4" borderId="12" applyNumberFormat="0" applyProtection="0">
      <alignment horizontal="left" vertical="center" indent="1"/>
    </xf>
    <xf numFmtId="0" fontId="1" fillId="4" borderId="12" applyNumberFormat="0" applyProtection="0">
      <alignment horizontal="left" vertical="top" indent="1"/>
    </xf>
    <xf numFmtId="4" fontId="1" fillId="44" borderId="12" applyNumberFormat="0" applyProtection="0">
      <alignment horizontal="right" vertical="center"/>
    </xf>
    <xf numFmtId="4" fontId="23" fillId="44" borderId="12" applyNumberFormat="0" applyProtection="0">
      <alignment horizontal="right" vertical="center"/>
    </xf>
    <xf numFmtId="4" fontId="1" fillId="2" borderId="12" applyNumberFormat="0" applyProtection="0">
      <alignment horizontal="left" vertical="center" indent="1"/>
    </xf>
    <xf numFmtId="0" fontId="1" fillId="2" borderId="12" applyNumberFormat="0" applyProtection="0">
      <alignment horizontal="left" vertical="top" indent="1"/>
    </xf>
    <xf numFmtId="4" fontId="24" fillId="45" borderId="0" applyNumberFormat="0" applyProtection="0">
      <alignment horizontal="left" vertical="center" indent="1"/>
    </xf>
    <xf numFmtId="4" fontId="25" fillId="44" borderId="12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0" fillId="4" borderId="11" applyNumberFormat="0" applyFont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3" fillId="46" borderId="0" applyNumberFormat="0" applyBorder="0" applyAlignment="0" applyProtection="0"/>
  </cellStyleXfs>
  <cellXfs count="662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176" fontId="62" fillId="47" borderId="17" xfId="0" applyNumberFormat="1" applyFont="1" applyFill="1" applyBorder="1" applyAlignment="1">
      <alignment horizontal="right" vertical="center" indent="1"/>
    </xf>
    <xf numFmtId="0" fontId="44" fillId="0" borderId="0" xfId="0" applyFont="1" applyFill="1" applyBorder="1" applyAlignment="1">
      <alignment vertical="center" wrapText="1"/>
    </xf>
    <xf numFmtId="0" fontId="46" fillId="0" borderId="0" xfId="0" applyFont="1" applyFill="1" applyAlignment="1">
      <alignment/>
    </xf>
    <xf numFmtId="176" fontId="63" fillId="47" borderId="17" xfId="0" applyNumberFormat="1" applyFont="1" applyFill="1" applyBorder="1" applyAlignment="1">
      <alignment horizontal="right" vertical="center" indent="1"/>
    </xf>
    <xf numFmtId="0" fontId="45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/>
    </xf>
    <xf numFmtId="0" fontId="64" fillId="48" borderId="0" xfId="0" applyFont="1" applyFill="1" applyAlignment="1">
      <alignment/>
    </xf>
    <xf numFmtId="0" fontId="0" fillId="48" borderId="0" xfId="0" applyFill="1" applyBorder="1" applyAlignment="1">
      <alignment/>
    </xf>
    <xf numFmtId="0" fontId="0" fillId="48" borderId="0" xfId="0" applyFill="1" applyAlignment="1">
      <alignment/>
    </xf>
    <xf numFmtId="0" fontId="65" fillId="0" borderId="0" xfId="109" applyFont="1" applyFill="1" applyAlignment="1">
      <alignment horizontal="left"/>
      <protection/>
    </xf>
    <xf numFmtId="0" fontId="65" fillId="0" borderId="0" xfId="109" applyFont="1" applyFill="1" applyBorder="1" applyAlignment="1">
      <alignment horizontal="left"/>
      <protection/>
    </xf>
    <xf numFmtId="0" fontId="65" fillId="48" borderId="0" xfId="109" applyFont="1" applyFill="1" applyBorder="1" applyAlignment="1">
      <alignment horizontal="center" wrapText="1"/>
      <protection/>
    </xf>
    <xf numFmtId="176" fontId="45" fillId="0" borderId="18" xfId="109" applyNumberFormat="1" applyFont="1" applyFill="1" applyBorder="1" applyAlignment="1">
      <alignment vertical="center"/>
      <protection/>
    </xf>
    <xf numFmtId="176" fontId="45" fillId="0" borderId="0" xfId="109" applyNumberFormat="1" applyFont="1" applyFill="1" applyBorder="1" applyAlignment="1">
      <alignment vertical="center"/>
      <protection/>
    </xf>
    <xf numFmtId="176" fontId="45" fillId="48" borderId="18" xfId="109" applyNumberFormat="1" applyFont="1" applyFill="1" applyBorder="1" applyAlignment="1">
      <alignment horizontal="right" vertical="center" indent="1"/>
      <protection/>
    </xf>
    <xf numFmtId="176" fontId="45" fillId="48" borderId="0" xfId="109" applyNumberFormat="1" applyFont="1" applyFill="1" applyBorder="1" applyAlignment="1">
      <alignment horizontal="right" vertical="center" indent="1"/>
      <protection/>
    </xf>
    <xf numFmtId="176" fontId="45" fillId="48" borderId="19" xfId="109" applyNumberFormat="1" applyFont="1" applyFill="1" applyBorder="1" applyAlignment="1">
      <alignment horizontal="right" vertical="center" indent="1"/>
      <protection/>
    </xf>
    <xf numFmtId="176" fontId="45" fillId="48" borderId="20" xfId="109" applyNumberFormat="1" applyFont="1" applyFill="1" applyBorder="1" applyAlignment="1">
      <alignment horizontal="right" vertical="center" indent="1"/>
      <protection/>
    </xf>
    <xf numFmtId="0" fontId="64" fillId="0" borderId="0" xfId="0" applyFont="1" applyAlignment="1">
      <alignment/>
    </xf>
    <xf numFmtId="0" fontId="44" fillId="0" borderId="18" xfId="109" applyFont="1" applyFill="1" applyBorder="1" applyAlignment="1">
      <alignment horizontal="left" vertical="center" indent="2"/>
      <protection/>
    </xf>
    <xf numFmtId="0" fontId="44" fillId="0" borderId="0" xfId="109" applyFont="1" applyFill="1" applyBorder="1" applyAlignment="1">
      <alignment horizontal="left" vertical="center" indent="2"/>
      <protection/>
    </xf>
    <xf numFmtId="176" fontId="44" fillId="48" borderId="18" xfId="109" applyNumberFormat="1" applyFont="1" applyFill="1" applyBorder="1" applyAlignment="1">
      <alignment horizontal="right" vertical="center" indent="1"/>
      <protection/>
    </xf>
    <xf numFmtId="176" fontId="44" fillId="48" borderId="0" xfId="109" applyNumberFormat="1" applyFont="1" applyFill="1" applyBorder="1" applyAlignment="1">
      <alignment horizontal="right" vertical="center" indent="1"/>
      <protection/>
    </xf>
    <xf numFmtId="176" fontId="44" fillId="48" borderId="19" xfId="109" applyNumberFormat="1" applyFont="1" applyFill="1" applyBorder="1" applyAlignment="1">
      <alignment horizontal="right" vertical="center" indent="1"/>
      <protection/>
    </xf>
    <xf numFmtId="176" fontId="44" fillId="48" borderId="20" xfId="109" applyNumberFormat="1" applyFont="1" applyFill="1" applyBorder="1" applyAlignment="1">
      <alignment horizontal="right" vertical="center" indent="1"/>
      <protection/>
    </xf>
    <xf numFmtId="0" fontId="66" fillId="0" borderId="0" xfId="109" applyFont="1" applyFill="1" applyBorder="1" applyAlignment="1">
      <alignment horizontal="left" vertical="center" indent="2"/>
      <protection/>
    </xf>
    <xf numFmtId="0" fontId="66" fillId="0" borderId="0" xfId="109" applyFont="1" applyFill="1" applyBorder="1" applyAlignment="1">
      <alignment horizontal="left" vertical="center" wrapText="1" indent="2"/>
      <protection/>
    </xf>
    <xf numFmtId="176" fontId="63" fillId="47" borderId="21" xfId="0" applyNumberFormat="1" applyFont="1" applyFill="1" applyBorder="1" applyAlignment="1">
      <alignment horizontal="right" vertical="center" indent="1"/>
    </xf>
    <xf numFmtId="0" fontId="44" fillId="0" borderId="18" xfId="109" applyFont="1" applyFill="1" applyBorder="1" applyAlignment="1">
      <alignment horizontal="left" vertical="center" wrapText="1" indent="2"/>
      <protection/>
    </xf>
    <xf numFmtId="0" fontId="44" fillId="0" borderId="0" xfId="109" applyFont="1" applyFill="1" applyBorder="1" applyAlignment="1">
      <alignment horizontal="left" vertical="center" wrapText="1" indent="2"/>
      <protection/>
    </xf>
    <xf numFmtId="176" fontId="44" fillId="0" borderId="18" xfId="109" applyNumberFormat="1" applyFont="1" applyFill="1" applyBorder="1" applyAlignment="1">
      <alignment vertical="center"/>
      <protection/>
    </xf>
    <xf numFmtId="176" fontId="44" fillId="0" borderId="0" xfId="109" applyNumberFormat="1" applyFont="1" applyFill="1" applyBorder="1" applyAlignment="1">
      <alignment vertical="center"/>
      <protection/>
    </xf>
    <xf numFmtId="176" fontId="63" fillId="47" borderId="22" xfId="0" applyNumberFormat="1" applyFont="1" applyFill="1" applyBorder="1" applyAlignment="1">
      <alignment horizontal="right" vertical="center" indent="1"/>
    </xf>
    <xf numFmtId="176" fontId="65" fillId="0" borderId="18" xfId="109" applyNumberFormat="1" applyFont="1" applyFill="1" applyBorder="1" applyAlignment="1">
      <alignment vertical="center"/>
      <protection/>
    </xf>
    <xf numFmtId="176" fontId="65" fillId="0" borderId="0" xfId="109" applyNumberFormat="1" applyFont="1" applyFill="1" applyBorder="1" applyAlignment="1">
      <alignment vertical="center"/>
      <protection/>
    </xf>
    <xf numFmtId="176" fontId="45" fillId="0" borderId="23" xfId="109" applyNumberFormat="1" applyFont="1" applyFill="1" applyBorder="1" applyAlignment="1">
      <alignment vertical="center"/>
      <protection/>
    </xf>
    <xf numFmtId="176" fontId="45" fillId="48" borderId="23" xfId="109" applyNumberFormat="1" applyFont="1" applyFill="1" applyBorder="1" applyAlignment="1">
      <alignment horizontal="right" vertical="center" indent="1"/>
      <protection/>
    </xf>
    <xf numFmtId="176" fontId="45" fillId="48" borderId="24" xfId="109" applyNumberFormat="1" applyFont="1" applyFill="1" applyBorder="1" applyAlignment="1">
      <alignment horizontal="right" vertical="center" indent="1"/>
      <protection/>
    </xf>
    <xf numFmtId="0" fontId="44" fillId="0" borderId="25" xfId="109" applyFont="1" applyFill="1" applyBorder="1" applyAlignment="1">
      <alignment horizontal="left" vertical="center" indent="2"/>
      <protection/>
    </xf>
    <xf numFmtId="176" fontId="44" fillId="48" borderId="25" xfId="109" applyNumberFormat="1" applyFont="1" applyFill="1" applyBorder="1" applyAlignment="1">
      <alignment horizontal="right" vertical="center" indent="1"/>
      <protection/>
    </xf>
    <xf numFmtId="176" fontId="44" fillId="48" borderId="26" xfId="109" applyNumberFormat="1" applyFont="1" applyFill="1" applyBorder="1" applyAlignment="1">
      <alignment horizontal="right" vertical="center" indent="1"/>
      <protection/>
    </xf>
    <xf numFmtId="176" fontId="65" fillId="0" borderId="23" xfId="109" applyNumberFormat="1" applyFont="1" applyFill="1" applyBorder="1" applyAlignment="1">
      <alignment vertical="center"/>
      <protection/>
    </xf>
    <xf numFmtId="176" fontId="65" fillId="0" borderId="25" xfId="109" applyNumberFormat="1" applyFont="1" applyFill="1" applyBorder="1" applyAlignment="1">
      <alignment vertical="center"/>
      <protection/>
    </xf>
    <xf numFmtId="176" fontId="45" fillId="48" borderId="25" xfId="109" applyNumberFormat="1" applyFont="1" applyFill="1" applyBorder="1" applyAlignment="1">
      <alignment horizontal="right" vertical="center" indent="1"/>
      <protection/>
    </xf>
    <xf numFmtId="176" fontId="45" fillId="48" borderId="26" xfId="109" applyNumberFormat="1" applyFont="1" applyFill="1" applyBorder="1" applyAlignment="1">
      <alignment horizontal="right" vertical="center" indent="1"/>
      <protection/>
    </xf>
    <xf numFmtId="0" fontId="0" fillId="0" borderId="0" xfId="109">
      <alignment/>
      <protection/>
    </xf>
    <xf numFmtId="0" fontId="0" fillId="0" borderId="0" xfId="109" applyBorder="1">
      <alignment/>
      <protection/>
    </xf>
    <xf numFmtId="3" fontId="45" fillId="48" borderId="0" xfId="109" applyNumberFormat="1" applyFont="1" applyFill="1" applyBorder="1" applyAlignment="1">
      <alignment vertical="center"/>
      <protection/>
    </xf>
    <xf numFmtId="3" fontId="45" fillId="48" borderId="0" xfId="109" applyNumberFormat="1" applyFont="1" applyFill="1" applyBorder="1" applyAlignment="1">
      <alignment horizontal="right" vertical="center"/>
      <protection/>
    </xf>
    <xf numFmtId="3" fontId="44" fillId="48" borderId="0" xfId="109" applyNumberFormat="1" applyFont="1" applyFill="1" applyBorder="1" applyAlignment="1">
      <alignment horizontal="right" vertical="center"/>
      <protection/>
    </xf>
    <xf numFmtId="176" fontId="44" fillId="0" borderId="18" xfId="109" applyNumberFormat="1" applyFont="1" applyFill="1" applyBorder="1" applyAlignment="1">
      <alignment horizontal="left" vertical="center" indent="2"/>
      <protection/>
    </xf>
    <xf numFmtId="0" fontId="0" fillId="0" borderId="0" xfId="0" applyBorder="1" applyAlignment="1">
      <alignment/>
    </xf>
    <xf numFmtId="0" fontId="65" fillId="0" borderId="0" xfId="109" applyFont="1" applyFill="1" applyBorder="1" applyAlignment="1">
      <alignment horizontal="center" wrapText="1"/>
      <protection/>
    </xf>
    <xf numFmtId="0" fontId="65" fillId="48" borderId="0" xfId="0" applyFont="1" applyFill="1" applyBorder="1" applyAlignment="1">
      <alignment horizontal="center" wrapText="1"/>
    </xf>
    <xf numFmtId="0" fontId="44" fillId="48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176" fontId="44" fillId="0" borderId="0" xfId="109" applyNumberFormat="1" applyFont="1" applyFill="1">
      <alignment/>
      <protection/>
    </xf>
    <xf numFmtId="0" fontId="65" fillId="0" borderId="0" xfId="109" applyFont="1" applyFill="1" applyBorder="1" applyAlignment="1">
      <alignment/>
      <protection/>
    </xf>
    <xf numFmtId="0" fontId="46" fillId="0" borderId="0" xfId="109" applyFont="1" applyFill="1">
      <alignment/>
      <protection/>
    </xf>
    <xf numFmtId="0" fontId="46" fillId="0" borderId="0" xfId="109" applyFont="1" applyFill="1" applyBorder="1">
      <alignment/>
      <protection/>
    </xf>
    <xf numFmtId="0" fontId="67" fillId="0" borderId="0" xfId="109" applyFont="1" applyFill="1">
      <alignment/>
      <protection/>
    </xf>
    <xf numFmtId="0" fontId="68" fillId="0" borderId="0" xfId="109" applyFont="1" applyFill="1">
      <alignment/>
      <protection/>
    </xf>
    <xf numFmtId="0" fontId="69" fillId="0" borderId="0" xfId="109" applyFont="1">
      <alignment/>
      <protection/>
    </xf>
    <xf numFmtId="0" fontId="65" fillId="0" borderId="0" xfId="109" applyFont="1" applyBorder="1" applyAlignment="1">
      <alignment/>
      <protection/>
    </xf>
    <xf numFmtId="0" fontId="45" fillId="0" borderId="27" xfId="109" applyFont="1" applyFill="1" applyBorder="1" applyAlignment="1">
      <alignment horizontal="center" wrapText="1"/>
      <protection/>
    </xf>
    <xf numFmtId="0" fontId="65" fillId="0" borderId="27" xfId="109" applyFont="1" applyFill="1" applyBorder="1" applyAlignment="1">
      <alignment horizontal="center" wrapText="1"/>
      <protection/>
    </xf>
    <xf numFmtId="0" fontId="45" fillId="0" borderId="0" xfId="109" applyFont="1" applyFill="1" applyAlignment="1">
      <alignment horizontal="right"/>
      <protection/>
    </xf>
    <xf numFmtId="0" fontId="66" fillId="0" borderId="28" xfId="109" applyFont="1" applyBorder="1" applyAlignment="1">
      <alignment vertical="center" wrapText="1"/>
      <protection/>
    </xf>
    <xf numFmtId="0" fontId="66" fillId="0" borderId="0" xfId="109" applyFont="1" applyBorder="1" applyAlignment="1">
      <alignment vertical="center" wrapText="1"/>
      <protection/>
    </xf>
    <xf numFmtId="3" fontId="66" fillId="0" borderId="28" xfId="109" applyNumberFormat="1" applyFont="1" applyBorder="1" applyAlignment="1">
      <alignment horizontal="right" vertical="center" indent="1"/>
      <protection/>
    </xf>
    <xf numFmtId="4" fontId="66" fillId="0" borderId="28" xfId="109" applyNumberFormat="1" applyFont="1" applyBorder="1" applyAlignment="1">
      <alignment horizontal="right" vertical="center" indent="1"/>
      <protection/>
    </xf>
    <xf numFmtId="4" fontId="63" fillId="0" borderId="0" xfId="109" applyNumberFormat="1" applyFont="1" applyFill="1" applyBorder="1" applyAlignment="1">
      <alignment horizontal="right" vertical="center" indent="1"/>
      <protection/>
    </xf>
    <xf numFmtId="4" fontId="66" fillId="0" borderId="28" xfId="109" applyNumberFormat="1" applyFont="1" applyFill="1" applyBorder="1" applyAlignment="1">
      <alignment horizontal="right" vertical="center" indent="1"/>
      <protection/>
    </xf>
    <xf numFmtId="0" fontId="45" fillId="0" borderId="0" xfId="109" applyFont="1" applyFill="1" applyBorder="1" applyAlignment="1">
      <alignment horizontal="center"/>
      <protection/>
    </xf>
    <xf numFmtId="0" fontId="45" fillId="0" borderId="0" xfId="109" applyFont="1" applyFill="1" applyAlignment="1">
      <alignment horizontal="center"/>
      <protection/>
    </xf>
    <xf numFmtId="0" fontId="44" fillId="0" borderId="0" xfId="109" applyFont="1" applyFill="1">
      <alignment/>
      <protection/>
    </xf>
    <xf numFmtId="0" fontId="65" fillId="0" borderId="0" xfId="109" applyFont="1" applyFill="1" applyBorder="1" applyAlignment="1">
      <alignment horizontal="center"/>
      <protection/>
    </xf>
    <xf numFmtId="0" fontId="65" fillId="0" borderId="29" xfId="109" applyFont="1" applyFill="1" applyBorder="1" applyAlignment="1">
      <alignment horizontal="center" wrapText="1"/>
      <protection/>
    </xf>
    <xf numFmtId="0" fontId="65" fillId="0" borderId="0" xfId="109" applyFont="1" applyFill="1" applyBorder="1" applyAlignment="1">
      <alignment vertical="center" wrapText="1"/>
      <protection/>
    </xf>
    <xf numFmtId="0" fontId="45" fillId="0" borderId="30" xfId="109" applyFont="1" applyFill="1" applyBorder="1" applyAlignment="1">
      <alignment vertical="center" wrapText="1"/>
      <protection/>
    </xf>
    <xf numFmtId="0" fontId="45" fillId="0" borderId="0" xfId="109" applyFont="1" applyFill="1" applyBorder="1" applyAlignment="1">
      <alignment vertical="center" wrapText="1"/>
      <protection/>
    </xf>
    <xf numFmtId="176" fontId="45" fillId="0" borderId="27" xfId="109" applyNumberFormat="1" applyFont="1" applyFill="1" applyBorder="1" applyAlignment="1">
      <alignment horizontal="right" vertical="center" indent="1"/>
      <protection/>
    </xf>
    <xf numFmtId="176" fontId="45" fillId="0" borderId="28" xfId="109" applyNumberFormat="1" applyFont="1" applyFill="1" applyBorder="1" applyAlignment="1">
      <alignment horizontal="right" vertical="center" indent="1"/>
      <protection/>
    </xf>
    <xf numFmtId="0" fontId="45" fillId="0" borderId="0" xfId="109" applyFont="1" applyFill="1" applyBorder="1" applyAlignment="1">
      <alignment/>
      <protection/>
    </xf>
    <xf numFmtId="0" fontId="45" fillId="0" borderId="0" xfId="109" applyFont="1" applyFill="1" applyAlignment="1">
      <alignment/>
      <protection/>
    </xf>
    <xf numFmtId="0" fontId="70" fillId="0" borderId="0" xfId="109" applyFont="1" applyFill="1" applyBorder="1" applyAlignment="1">
      <alignment vertical="center" wrapText="1"/>
      <protection/>
    </xf>
    <xf numFmtId="0" fontId="44" fillId="0" borderId="28" xfId="109" applyFont="1" applyFill="1" applyBorder="1" applyAlignment="1">
      <alignment vertical="center" wrapText="1"/>
      <protection/>
    </xf>
    <xf numFmtId="0" fontId="44" fillId="0" borderId="0" xfId="109" applyFont="1" applyFill="1" applyBorder="1" applyAlignment="1">
      <alignment vertical="center" wrapText="1"/>
      <protection/>
    </xf>
    <xf numFmtId="176" fontId="44" fillId="0" borderId="28" xfId="109" applyNumberFormat="1" applyFont="1" applyFill="1" applyBorder="1" applyAlignment="1">
      <alignment horizontal="right" vertical="center" indent="1"/>
      <protection/>
    </xf>
    <xf numFmtId="0" fontId="44" fillId="0" borderId="0" xfId="109" applyFont="1" applyFill="1" applyBorder="1" applyAlignment="1">
      <alignment/>
      <protection/>
    </xf>
    <xf numFmtId="0" fontId="44" fillId="0" borderId="0" xfId="109" applyFont="1" applyFill="1" applyAlignment="1">
      <alignment/>
      <protection/>
    </xf>
    <xf numFmtId="0" fontId="66" fillId="0" borderId="0" xfId="109" applyFont="1" applyBorder="1" applyAlignment="1">
      <alignment horizontal="left" vertical="center"/>
      <protection/>
    </xf>
    <xf numFmtId="176" fontId="66" fillId="0" borderId="28" xfId="109" applyNumberFormat="1" applyFont="1" applyBorder="1" applyAlignment="1">
      <alignment horizontal="right" vertical="center" indent="1"/>
      <protection/>
    </xf>
    <xf numFmtId="0" fontId="44" fillId="48" borderId="28" xfId="109" applyFont="1" applyFill="1" applyBorder="1" applyAlignment="1">
      <alignment horizontal="left" vertical="center" wrapText="1" indent="2"/>
      <protection/>
    </xf>
    <xf numFmtId="0" fontId="44" fillId="48" borderId="0" xfId="109" applyFont="1" applyFill="1" applyBorder="1" applyAlignment="1">
      <alignment horizontal="left" vertical="center" wrapText="1" indent="2"/>
      <protection/>
    </xf>
    <xf numFmtId="0" fontId="44" fillId="48" borderId="0" xfId="109" applyFont="1" applyFill="1" applyAlignment="1">
      <alignment/>
      <protection/>
    </xf>
    <xf numFmtId="0" fontId="70" fillId="0" borderId="0" xfId="109" applyFont="1" applyAlignment="1">
      <alignment horizontal="left" vertical="center"/>
      <protection/>
    </xf>
    <xf numFmtId="0" fontId="66" fillId="0" borderId="0" xfId="109" applyFont="1" applyBorder="1" applyAlignment="1">
      <alignment horizontal="left" vertical="center" wrapText="1" indent="2"/>
      <protection/>
    </xf>
    <xf numFmtId="0" fontId="44" fillId="0" borderId="28" xfId="109" applyFont="1" applyFill="1" applyBorder="1" applyAlignment="1">
      <alignment horizontal="left" vertical="center" wrapText="1" indent="2"/>
      <protection/>
    </xf>
    <xf numFmtId="0" fontId="71" fillId="0" borderId="0" xfId="109" applyFont="1" applyFill="1" applyBorder="1" applyAlignment="1">
      <alignment vertical="center" wrapText="1"/>
      <protection/>
    </xf>
    <xf numFmtId="4" fontId="44" fillId="0" borderId="0" xfId="109" applyNumberFormat="1" applyFont="1" applyFill="1" applyBorder="1" applyAlignment="1">
      <alignment horizontal="right"/>
      <protection/>
    </xf>
    <xf numFmtId="0" fontId="45" fillId="0" borderId="0" xfId="109" applyFont="1" applyFill="1" applyBorder="1" applyAlignment="1">
      <alignment vertical="center"/>
      <protection/>
    </xf>
    <xf numFmtId="164" fontId="44" fillId="0" borderId="31" xfId="109" applyNumberFormat="1" applyFont="1" applyFill="1" applyBorder="1" applyAlignment="1">
      <alignment horizontal="right" vertical="center" indent="1"/>
      <protection/>
    </xf>
    <xf numFmtId="164" fontId="44" fillId="0" borderId="32" xfId="109" applyNumberFormat="1" applyFont="1" applyFill="1" applyBorder="1" applyAlignment="1">
      <alignment horizontal="right" vertical="center" indent="1"/>
      <protection/>
    </xf>
    <xf numFmtId="164" fontId="45" fillId="0" borderId="32" xfId="109" applyNumberFormat="1" applyFont="1" applyFill="1" applyBorder="1" applyAlignment="1">
      <alignment horizontal="right" vertical="center" indent="1"/>
      <protection/>
    </xf>
    <xf numFmtId="164" fontId="45" fillId="0" borderId="31" xfId="109" applyNumberFormat="1" applyFont="1" applyFill="1" applyBorder="1" applyAlignment="1">
      <alignment horizontal="right" vertical="center" indent="1"/>
      <protection/>
    </xf>
    <xf numFmtId="9" fontId="45" fillId="0" borderId="32" xfId="115" applyFont="1" applyFill="1" applyBorder="1" applyAlignment="1">
      <alignment horizontal="right" vertical="center" indent="1"/>
    </xf>
    <xf numFmtId="9" fontId="45" fillId="0" borderId="31" xfId="115" applyFont="1" applyFill="1" applyBorder="1" applyAlignment="1">
      <alignment horizontal="right" vertical="center" indent="1"/>
    </xf>
    <xf numFmtId="9" fontId="45" fillId="0" borderId="28" xfId="115" applyFont="1" applyFill="1" applyBorder="1" applyAlignment="1">
      <alignment horizontal="right" vertical="center" indent="1"/>
    </xf>
    <xf numFmtId="9" fontId="44" fillId="0" borderId="28" xfId="115" applyFont="1" applyFill="1" applyBorder="1" applyAlignment="1">
      <alignment horizontal="right" vertical="center" indent="1"/>
    </xf>
    <xf numFmtId="9" fontId="44" fillId="0" borderId="31" xfId="115" applyFont="1" applyFill="1" applyBorder="1" applyAlignment="1">
      <alignment horizontal="right" vertical="center" indent="1"/>
    </xf>
    <xf numFmtId="176" fontId="44" fillId="0" borderId="33" xfId="109" applyNumberFormat="1" applyFont="1" applyFill="1" applyBorder="1" applyAlignment="1">
      <alignment horizontal="right" vertical="center" indent="1"/>
      <protection/>
    </xf>
    <xf numFmtId="9" fontId="44" fillId="0" borderId="33" xfId="115" applyFont="1" applyFill="1" applyBorder="1" applyAlignment="1">
      <alignment horizontal="right" vertical="center" indent="1"/>
    </xf>
    <xf numFmtId="0" fontId="44" fillId="0" borderId="34" xfId="109" applyFont="1" applyFill="1" applyBorder="1" applyAlignment="1">
      <alignment/>
      <protection/>
    </xf>
    <xf numFmtId="2" fontId="45" fillId="0" borderId="33" xfId="109" applyNumberFormat="1" applyFont="1" applyFill="1" applyBorder="1" applyAlignment="1">
      <alignment horizontal="right" vertical="center" indent="1"/>
      <protection/>
    </xf>
    <xf numFmtId="4" fontId="45" fillId="0" borderId="28" xfId="109" applyNumberFormat="1" applyFont="1" applyFill="1" applyBorder="1" applyAlignment="1">
      <alignment horizontal="right" vertical="center" indent="1"/>
      <protection/>
    </xf>
    <xf numFmtId="2" fontId="44" fillId="0" borderId="33" xfId="109" applyNumberFormat="1" applyFont="1" applyFill="1" applyBorder="1" applyAlignment="1">
      <alignment horizontal="right" vertical="center" indent="1"/>
      <protection/>
    </xf>
    <xf numFmtId="4" fontId="44" fillId="0" borderId="28" xfId="109" applyNumberFormat="1" applyFont="1" applyFill="1" applyBorder="1" applyAlignment="1">
      <alignment horizontal="right" vertical="center" indent="1"/>
      <protection/>
    </xf>
    <xf numFmtId="2" fontId="44" fillId="0" borderId="35" xfId="109" applyNumberFormat="1" applyFont="1" applyFill="1" applyBorder="1" applyAlignment="1">
      <alignment horizontal="right" vertical="center" indent="1"/>
      <protection/>
    </xf>
    <xf numFmtId="2" fontId="44" fillId="0" borderId="36" xfId="109" applyNumberFormat="1" applyFont="1" applyFill="1" applyBorder="1" applyAlignment="1">
      <alignment horizontal="right" vertical="center" indent="1"/>
      <protection/>
    </xf>
    <xf numFmtId="2" fontId="44" fillId="0" borderId="0" xfId="109" applyNumberFormat="1" applyFont="1" applyFill="1" applyBorder="1" applyAlignment="1">
      <alignment horizontal="right" vertical="center" indent="1"/>
      <protection/>
    </xf>
    <xf numFmtId="4" fontId="44" fillId="0" borderId="0" xfId="109" applyNumberFormat="1" applyFont="1" applyFill="1" applyBorder="1" applyAlignment="1">
      <alignment horizontal="right" vertical="center" indent="1"/>
      <protection/>
    </xf>
    <xf numFmtId="2" fontId="44" fillId="0" borderId="0" xfId="109" applyNumberFormat="1" applyFont="1" applyFill="1" applyBorder="1" applyAlignment="1">
      <alignment horizontal="right"/>
      <protection/>
    </xf>
    <xf numFmtId="2" fontId="62" fillId="0" borderId="0" xfId="109" applyNumberFormat="1" applyFont="1" applyFill="1" applyBorder="1" applyAlignment="1">
      <alignment horizontal="right" vertical="center" indent="1"/>
      <protection/>
    </xf>
    <xf numFmtId="176" fontId="66" fillId="0" borderId="28" xfId="109" applyNumberFormat="1" applyFont="1" applyFill="1" applyBorder="1" applyAlignment="1">
      <alignment horizontal="right" vertical="center" indent="1"/>
      <protection/>
    </xf>
    <xf numFmtId="0" fontId="65" fillId="0" borderId="0" xfId="109" applyFont="1" applyBorder="1" applyAlignment="1">
      <alignment vertical="center" wrapText="1"/>
      <protection/>
    </xf>
    <xf numFmtId="176" fontId="72" fillId="0" borderId="28" xfId="109" applyNumberFormat="1" applyFont="1" applyBorder="1" applyAlignment="1">
      <alignment horizontal="right" vertical="center" indent="1"/>
      <protection/>
    </xf>
    <xf numFmtId="0" fontId="65" fillId="0" borderId="0" xfId="109" applyFont="1" applyAlignment="1">
      <alignment vertical="center" wrapText="1"/>
      <protection/>
    </xf>
    <xf numFmtId="0" fontId="69" fillId="0" borderId="0" xfId="109" applyFont="1" applyFill="1">
      <alignment/>
      <protection/>
    </xf>
    <xf numFmtId="0" fontId="44" fillId="0" borderId="0" xfId="109" applyFont="1" applyFill="1" applyBorder="1">
      <alignment/>
      <protection/>
    </xf>
    <xf numFmtId="3" fontId="45" fillId="48" borderId="23" xfId="109" applyNumberFormat="1" applyFont="1" applyFill="1" applyBorder="1" applyAlignment="1">
      <alignment vertical="center"/>
      <protection/>
    </xf>
    <xf numFmtId="3" fontId="44" fillId="48" borderId="25" xfId="109" applyNumberFormat="1" applyFont="1" applyFill="1" applyBorder="1" applyAlignment="1">
      <alignment horizontal="right" vertical="center"/>
      <protection/>
    </xf>
    <xf numFmtId="0" fontId="65" fillId="0" borderId="0" xfId="0" applyFont="1" applyFill="1" applyBorder="1" applyAlignment="1">
      <alignment vertical="center" wrapText="1"/>
    </xf>
    <xf numFmtId="0" fontId="65" fillId="0" borderId="18" xfId="0" applyFont="1" applyFill="1" applyBorder="1" applyAlignment="1">
      <alignment vertical="center" wrapText="1"/>
    </xf>
    <xf numFmtId="3" fontId="66" fillId="0" borderId="37" xfId="109" applyNumberFormat="1" applyFont="1" applyBorder="1" applyAlignment="1">
      <alignment horizontal="right" vertical="center" indent="1"/>
      <protection/>
    </xf>
    <xf numFmtId="4" fontId="66" fillId="0" borderId="37" xfId="109" applyNumberFormat="1" applyFont="1" applyBorder="1" applyAlignment="1">
      <alignment horizontal="right" vertical="center" indent="1"/>
      <protection/>
    </xf>
    <xf numFmtId="0" fontId="45" fillId="0" borderId="38" xfId="109" applyFont="1" applyFill="1" applyBorder="1" applyAlignment="1">
      <alignment horizontal="center"/>
      <protection/>
    </xf>
    <xf numFmtId="0" fontId="65" fillId="0" borderId="39" xfId="109" applyFont="1" applyFill="1" applyBorder="1" applyAlignment="1">
      <alignment horizontal="center" wrapText="1"/>
      <protection/>
    </xf>
    <xf numFmtId="176" fontId="45" fillId="0" borderId="40" xfId="109" applyNumberFormat="1" applyFont="1" applyFill="1" applyBorder="1" applyAlignment="1">
      <alignment horizontal="right" vertical="center" indent="1"/>
      <protection/>
    </xf>
    <xf numFmtId="176" fontId="44" fillId="0" borderId="37" xfId="109" applyNumberFormat="1" applyFont="1" applyFill="1" applyBorder="1" applyAlignment="1">
      <alignment horizontal="right" vertical="center" indent="1"/>
      <protection/>
    </xf>
    <xf numFmtId="176" fontId="45" fillId="0" borderId="37" xfId="109" applyNumberFormat="1" applyFont="1" applyFill="1" applyBorder="1" applyAlignment="1">
      <alignment horizontal="right" vertical="center" indent="1"/>
      <protection/>
    </xf>
    <xf numFmtId="176" fontId="66" fillId="0" borderId="37" xfId="109" applyNumberFormat="1" applyFont="1" applyBorder="1" applyAlignment="1">
      <alignment horizontal="right" vertical="center" indent="1"/>
      <protection/>
    </xf>
    <xf numFmtId="4" fontId="44" fillId="0" borderId="38" xfId="109" applyNumberFormat="1" applyFont="1" applyFill="1" applyBorder="1" applyAlignment="1">
      <alignment horizontal="right"/>
      <protection/>
    </xf>
    <xf numFmtId="164" fontId="44" fillId="0" borderId="41" xfId="109" applyNumberFormat="1" applyFont="1" applyFill="1" applyBorder="1" applyAlignment="1">
      <alignment horizontal="right" vertical="center" indent="1"/>
      <protection/>
    </xf>
    <xf numFmtId="164" fontId="45" fillId="0" borderId="42" xfId="109" applyNumberFormat="1" applyFont="1" applyFill="1" applyBorder="1" applyAlignment="1">
      <alignment horizontal="right" vertical="center" indent="1"/>
      <protection/>
    </xf>
    <xf numFmtId="9" fontId="45" fillId="0" borderId="42" xfId="115" applyFont="1" applyFill="1" applyBorder="1" applyAlignment="1">
      <alignment horizontal="right" vertical="center" indent="1"/>
    </xf>
    <xf numFmtId="9" fontId="44" fillId="0" borderId="37" xfId="115" applyFont="1" applyFill="1" applyBorder="1" applyAlignment="1">
      <alignment horizontal="right" vertical="center" indent="1"/>
    </xf>
    <xf numFmtId="176" fontId="44" fillId="0" borderId="43" xfId="109" applyNumberFormat="1" applyFont="1" applyFill="1" applyBorder="1" applyAlignment="1">
      <alignment horizontal="right" vertical="center" indent="1"/>
      <protection/>
    </xf>
    <xf numFmtId="2" fontId="45" fillId="0" borderId="43" xfId="109" applyNumberFormat="1" applyFont="1" applyFill="1" applyBorder="1" applyAlignment="1">
      <alignment horizontal="right" vertical="center" indent="1"/>
      <protection/>
    </xf>
    <xf numFmtId="2" fontId="44" fillId="0" borderId="43" xfId="109" applyNumberFormat="1" applyFont="1" applyFill="1" applyBorder="1" applyAlignment="1">
      <alignment horizontal="right" vertical="center" indent="1"/>
      <protection/>
    </xf>
    <xf numFmtId="2" fontId="44" fillId="0" borderId="44" xfId="109" applyNumberFormat="1" applyFont="1" applyFill="1" applyBorder="1" applyAlignment="1">
      <alignment horizontal="right" vertical="center" indent="1"/>
      <protection/>
    </xf>
    <xf numFmtId="2" fontId="44" fillId="0" borderId="45" xfId="109" applyNumberFormat="1" applyFont="1" applyFill="1" applyBorder="1" applyAlignment="1">
      <alignment horizontal="right" vertical="center" indent="1"/>
      <protection/>
    </xf>
    <xf numFmtId="2" fontId="44" fillId="0" borderId="38" xfId="109" applyNumberFormat="1" applyFont="1" applyFill="1" applyBorder="1" applyAlignment="1">
      <alignment horizontal="right" vertical="center" indent="1"/>
      <protection/>
    </xf>
    <xf numFmtId="0" fontId="45" fillId="0" borderId="40" xfId="109" applyFont="1" applyFill="1" applyBorder="1" applyAlignment="1">
      <alignment horizontal="center" wrapText="1"/>
      <protection/>
    </xf>
    <xf numFmtId="176" fontId="72" fillId="0" borderId="37" xfId="109" applyNumberFormat="1" applyFont="1" applyBorder="1" applyAlignment="1">
      <alignment horizontal="right" vertical="center" indent="1"/>
      <protection/>
    </xf>
    <xf numFmtId="0" fontId="69" fillId="48" borderId="0" xfId="0" applyFont="1" applyFill="1" applyBorder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Fill="1" applyBorder="1" applyAlignment="1">
      <alignment/>
    </xf>
    <xf numFmtId="0" fontId="73" fillId="0" borderId="0" xfId="0" applyFont="1" applyFill="1" applyBorder="1" applyAlignment="1">
      <alignment vertical="center" wrapText="1"/>
    </xf>
    <xf numFmtId="0" fontId="65" fillId="48" borderId="25" xfId="0" applyFont="1" applyFill="1" applyBorder="1" applyAlignment="1">
      <alignment horizontal="center" wrapText="1"/>
    </xf>
    <xf numFmtId="0" fontId="74" fillId="0" borderId="0" xfId="0" applyFont="1" applyFill="1" applyBorder="1" applyAlignment="1">
      <alignment/>
    </xf>
    <xf numFmtId="0" fontId="74" fillId="0" borderId="46" xfId="0" applyFont="1" applyFill="1" applyBorder="1" applyAlignment="1">
      <alignment/>
    </xf>
    <xf numFmtId="174" fontId="44" fillId="0" borderId="20" xfId="0" applyNumberFormat="1" applyFont="1" applyFill="1" applyBorder="1" applyAlignment="1">
      <alignment horizontal="right" vertical="center" indent="1"/>
    </xf>
    <xf numFmtId="174" fontId="73" fillId="48" borderId="0" xfId="0" applyNumberFormat="1" applyFont="1" applyFill="1" applyBorder="1" applyAlignment="1">
      <alignment horizontal="center" wrapText="1"/>
    </xf>
    <xf numFmtId="174" fontId="73" fillId="0" borderId="20" xfId="0" applyNumberFormat="1" applyFont="1" applyFill="1" applyBorder="1" applyAlignment="1">
      <alignment horizontal="center" wrapText="1"/>
    </xf>
    <xf numFmtId="174" fontId="73" fillId="0" borderId="0" xfId="0" applyNumberFormat="1" applyFont="1" applyFill="1" applyBorder="1" applyAlignment="1">
      <alignment horizontal="center" wrapText="1"/>
    </xf>
    <xf numFmtId="174" fontId="73" fillId="0" borderId="18" xfId="0" applyNumberFormat="1" applyFont="1" applyFill="1" applyBorder="1" applyAlignment="1">
      <alignment horizontal="center" wrapText="1"/>
    </xf>
    <xf numFmtId="174" fontId="44" fillId="0" borderId="18" xfId="0" applyNumberFormat="1" applyFont="1" applyFill="1" applyBorder="1" applyAlignment="1">
      <alignment horizontal="right" vertical="center" indent="1"/>
    </xf>
    <xf numFmtId="174" fontId="73" fillId="0" borderId="47" xfId="0" applyNumberFormat="1" applyFont="1" applyFill="1" applyBorder="1" applyAlignment="1">
      <alignment horizontal="center" wrapText="1"/>
    </xf>
    <xf numFmtId="176" fontId="44" fillId="0" borderId="48" xfId="0" applyNumberFormat="1" applyFont="1" applyFill="1" applyBorder="1" applyAlignment="1">
      <alignment horizontal="right" vertical="center" indent="1"/>
    </xf>
    <xf numFmtId="0" fontId="69" fillId="0" borderId="18" xfId="0" applyFont="1" applyFill="1" applyBorder="1" applyAlignment="1">
      <alignment horizontal="left" vertical="center" wrapText="1" indent="2"/>
    </xf>
    <xf numFmtId="0" fontId="69" fillId="0" borderId="0" xfId="0" applyFont="1" applyFill="1" applyBorder="1" applyAlignment="1">
      <alignment horizontal="left" vertical="center" wrapText="1" indent="2"/>
    </xf>
    <xf numFmtId="174" fontId="69" fillId="48" borderId="0" xfId="0" applyNumberFormat="1" applyFont="1" applyFill="1" applyBorder="1" applyAlignment="1">
      <alignment horizontal="right"/>
    </xf>
    <xf numFmtId="174" fontId="69" fillId="0" borderId="20" xfId="0" applyNumberFormat="1" applyFont="1" applyFill="1" applyBorder="1" applyAlignment="1">
      <alignment horizontal="right" vertical="center" indent="1"/>
    </xf>
    <xf numFmtId="174" fontId="69" fillId="0" borderId="0" xfId="0" applyNumberFormat="1" applyFont="1" applyFill="1" applyBorder="1" applyAlignment="1">
      <alignment horizontal="right" vertical="center" indent="1"/>
    </xf>
    <xf numFmtId="174" fontId="69" fillId="0" borderId="18" xfId="0" applyNumberFormat="1" applyFont="1" applyFill="1" applyBorder="1" applyAlignment="1">
      <alignment horizontal="right" vertical="center" indent="1"/>
    </xf>
    <xf numFmtId="174" fontId="69" fillId="0" borderId="47" xfId="0" applyNumberFormat="1" applyFont="1" applyFill="1" applyBorder="1" applyAlignment="1">
      <alignment horizontal="right" vertical="center" indent="1"/>
    </xf>
    <xf numFmtId="0" fontId="74" fillId="0" borderId="0" xfId="0" applyFont="1" applyFill="1" applyAlignment="1">
      <alignment/>
    </xf>
    <xf numFmtId="0" fontId="69" fillId="0" borderId="18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vertical="center" wrapText="1"/>
    </xf>
    <xf numFmtId="174" fontId="73" fillId="0" borderId="20" xfId="0" applyNumberFormat="1" applyFont="1" applyFill="1" applyBorder="1" applyAlignment="1">
      <alignment horizontal="right" vertical="center" indent="1"/>
    </xf>
    <xf numFmtId="174" fontId="73" fillId="48" borderId="0" xfId="0" applyNumberFormat="1" applyFont="1" applyFill="1" applyBorder="1" applyAlignment="1">
      <alignment horizontal="right"/>
    </xf>
    <xf numFmtId="174" fontId="73" fillId="0" borderId="0" xfId="0" applyNumberFormat="1" applyFont="1" applyFill="1" applyBorder="1" applyAlignment="1">
      <alignment horizontal="right" vertical="center" indent="1"/>
    </xf>
    <xf numFmtId="174" fontId="73" fillId="0" borderId="18" xfId="0" applyNumberFormat="1" applyFont="1" applyFill="1" applyBorder="1" applyAlignment="1">
      <alignment horizontal="right" vertical="center" indent="1"/>
    </xf>
    <xf numFmtId="174" fontId="45" fillId="0" borderId="18" xfId="0" applyNumberFormat="1" applyFont="1" applyFill="1" applyBorder="1" applyAlignment="1">
      <alignment horizontal="right" vertical="center" indent="1"/>
    </xf>
    <xf numFmtId="174" fontId="73" fillId="0" borderId="47" xfId="0" applyNumberFormat="1" applyFont="1" applyFill="1" applyBorder="1" applyAlignment="1">
      <alignment horizontal="right" vertical="center" indent="1"/>
    </xf>
    <xf numFmtId="176" fontId="45" fillId="0" borderId="48" xfId="0" applyNumberFormat="1" applyFont="1" applyFill="1" applyBorder="1" applyAlignment="1">
      <alignment horizontal="right" vertical="center" indent="1"/>
    </xf>
    <xf numFmtId="0" fontId="75" fillId="0" borderId="0" xfId="0" applyFont="1" applyFill="1" applyBorder="1" applyAlignment="1">
      <alignment/>
    </xf>
    <xf numFmtId="0" fontId="75" fillId="0" borderId="46" xfId="0" applyFont="1" applyFill="1" applyBorder="1" applyAlignment="1">
      <alignment/>
    </xf>
    <xf numFmtId="174" fontId="45" fillId="0" borderId="38" xfId="0" applyNumberFormat="1" applyFont="1" applyFill="1" applyBorder="1" applyAlignment="1">
      <alignment horizontal="right" vertical="center" indent="1"/>
    </xf>
    <xf numFmtId="174" fontId="73" fillId="0" borderId="38" xfId="0" applyNumberFormat="1" applyFont="1" applyFill="1" applyBorder="1" applyAlignment="1">
      <alignment horizontal="right" vertical="center" indent="1"/>
    </xf>
    <xf numFmtId="0" fontId="76" fillId="0" borderId="0" xfId="0" applyFont="1" applyFill="1" applyBorder="1" applyAlignment="1">
      <alignment/>
    </xf>
    <xf numFmtId="174" fontId="45" fillId="0" borderId="20" xfId="0" applyNumberFormat="1" applyFont="1" applyFill="1" applyBorder="1" applyAlignment="1">
      <alignment horizontal="right" vertical="center" indent="1"/>
    </xf>
    <xf numFmtId="174" fontId="73" fillId="48" borderId="0" xfId="0" applyNumberFormat="1" applyFont="1" applyFill="1" applyBorder="1" applyAlignment="1">
      <alignment horizontal="right" vertical="top"/>
    </xf>
    <xf numFmtId="174" fontId="69" fillId="48" borderId="0" xfId="0" applyNumberFormat="1" applyFont="1" applyFill="1" applyBorder="1" applyAlignment="1">
      <alignment/>
    </xf>
    <xf numFmtId="0" fontId="69" fillId="0" borderId="0" xfId="0" applyFont="1" applyFill="1" applyAlignment="1">
      <alignment vertical="center" wrapText="1"/>
    </xf>
    <xf numFmtId="176" fontId="44" fillId="0" borderId="0" xfId="0" applyNumberFormat="1" applyFont="1" applyFill="1" applyAlignment="1">
      <alignment/>
    </xf>
    <xf numFmtId="176" fontId="69" fillId="48" borderId="0" xfId="0" applyNumberFormat="1" applyFont="1" applyFill="1" applyBorder="1" applyAlignment="1">
      <alignment/>
    </xf>
    <xf numFmtId="176" fontId="69" fillId="0" borderId="0" xfId="0" applyNumberFormat="1" applyFont="1" applyFill="1" applyAlignment="1">
      <alignment/>
    </xf>
    <xf numFmtId="176" fontId="69" fillId="0" borderId="0" xfId="0" applyNumberFormat="1" applyFont="1" applyFill="1" applyBorder="1" applyAlignment="1">
      <alignment/>
    </xf>
    <xf numFmtId="176" fontId="44" fillId="0" borderId="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5" fillId="0" borderId="0" xfId="0" applyFont="1" applyBorder="1" applyAlignment="1">
      <alignment/>
    </xf>
    <xf numFmtId="0" fontId="45" fillId="0" borderId="27" xfId="0" applyFont="1" applyFill="1" applyBorder="1" applyAlignment="1">
      <alignment horizontal="center" wrapText="1"/>
    </xf>
    <xf numFmtId="0" fontId="65" fillId="0" borderId="27" xfId="0" applyFont="1" applyFill="1" applyBorder="1" applyAlignment="1">
      <alignment horizontal="center" wrapText="1"/>
    </xf>
    <xf numFmtId="0" fontId="45" fillId="0" borderId="0" xfId="0" applyFont="1" applyFill="1" applyAlignment="1">
      <alignment horizontal="right"/>
    </xf>
    <xf numFmtId="0" fontId="65" fillId="0" borderId="0" xfId="0" applyFont="1" applyFill="1" applyBorder="1" applyAlignment="1">
      <alignment horizontal="center" wrapText="1"/>
    </xf>
    <xf numFmtId="0" fontId="65" fillId="0" borderId="0" xfId="0" applyFont="1" applyFill="1" applyBorder="1" applyAlignment="1">
      <alignment horizontal="center" vertical="center"/>
    </xf>
    <xf numFmtId="0" fontId="69" fillId="0" borderId="0" xfId="0" applyFont="1" applyAlignment="1">
      <alignment/>
    </xf>
    <xf numFmtId="0" fontId="66" fillId="0" borderId="28" xfId="0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3" fontId="66" fillId="0" borderId="49" xfId="0" applyNumberFormat="1" applyFont="1" applyBorder="1" applyAlignment="1">
      <alignment horizontal="right" vertical="center" indent="1"/>
    </xf>
    <xf numFmtId="3" fontId="66" fillId="0" borderId="28" xfId="0" applyNumberFormat="1" applyFont="1" applyBorder="1" applyAlignment="1">
      <alignment horizontal="right" vertical="center" indent="1"/>
    </xf>
    <xf numFmtId="3" fontId="63" fillId="0" borderId="0" xfId="0" applyNumberFormat="1" applyFont="1" applyFill="1" applyAlignment="1">
      <alignment horizontal="right" vertical="center" indent="1"/>
    </xf>
    <xf numFmtId="3" fontId="63" fillId="0" borderId="0" xfId="0" applyNumberFormat="1" applyFont="1" applyFill="1" applyBorder="1" applyAlignment="1">
      <alignment horizontal="right" vertical="center" indent="1"/>
    </xf>
    <xf numFmtId="3" fontId="44" fillId="0" borderId="28" xfId="0" applyNumberFormat="1" applyFont="1" applyFill="1" applyBorder="1" applyAlignment="1">
      <alignment horizontal="right" vertical="center" indent="1"/>
    </xf>
    <xf numFmtId="176" fontId="63" fillId="0" borderId="0" xfId="0" applyNumberFormat="1" applyFont="1" applyFill="1" applyAlignment="1">
      <alignment horizontal="right" vertical="center" indent="1"/>
    </xf>
    <xf numFmtId="4" fontId="66" fillId="0" borderId="49" xfId="0" applyNumberFormat="1" applyFont="1" applyBorder="1" applyAlignment="1">
      <alignment horizontal="right" vertical="center" indent="1"/>
    </xf>
    <xf numFmtId="4" fontId="66" fillId="0" borderId="28" xfId="0" applyNumberFormat="1" applyFont="1" applyBorder="1" applyAlignment="1">
      <alignment horizontal="right" vertical="center" indent="1"/>
    </xf>
    <xf numFmtId="4" fontId="63" fillId="0" borderId="0" xfId="0" applyNumberFormat="1" applyFont="1" applyFill="1" applyAlignment="1">
      <alignment horizontal="right" vertical="center" indent="1"/>
    </xf>
    <xf numFmtId="4" fontId="63" fillId="0" borderId="0" xfId="0" applyNumberFormat="1" applyFont="1" applyFill="1" applyBorder="1" applyAlignment="1">
      <alignment horizontal="right" vertical="center" indent="1"/>
    </xf>
    <xf numFmtId="4" fontId="44" fillId="0" borderId="28" xfId="0" applyNumberFormat="1" applyFont="1" applyFill="1" applyBorder="1" applyAlignment="1">
      <alignment horizontal="right" vertical="center" indent="1"/>
    </xf>
    <xf numFmtId="4" fontId="66" fillId="48" borderId="28" xfId="0" applyNumberFormat="1" applyFont="1" applyFill="1" applyBorder="1" applyAlignment="1">
      <alignment horizontal="right" vertical="center" indent="1"/>
    </xf>
    <xf numFmtId="0" fontId="45" fillId="0" borderId="0" xfId="0" applyFont="1" applyFill="1" applyBorder="1" applyAlignment="1">
      <alignment horizontal="center"/>
    </xf>
    <xf numFmtId="0" fontId="44" fillId="0" borderId="50" xfId="0" applyFont="1" applyFill="1" applyBorder="1" applyAlignment="1">
      <alignment/>
    </xf>
    <xf numFmtId="0" fontId="44" fillId="0" borderId="50" xfId="0" applyFont="1" applyFill="1" applyBorder="1" applyAlignment="1">
      <alignment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 wrapText="1"/>
    </xf>
    <xf numFmtId="176" fontId="45" fillId="0" borderId="51" xfId="0" applyNumberFormat="1" applyFont="1" applyFill="1" applyBorder="1" applyAlignment="1">
      <alignment horizontal="right" vertical="center" indent="1"/>
    </xf>
    <xf numFmtId="176" fontId="45" fillId="0" borderId="31" xfId="0" applyNumberFormat="1" applyFont="1" applyFill="1" applyBorder="1" applyAlignment="1">
      <alignment horizontal="right" vertical="center" indent="1"/>
    </xf>
    <xf numFmtId="176" fontId="45" fillId="0" borderId="0" xfId="0" applyNumberFormat="1" applyFont="1" applyFill="1" applyBorder="1" applyAlignment="1">
      <alignment horizontal="right"/>
    </xf>
    <xf numFmtId="176" fontId="45" fillId="0" borderId="28" xfId="0" applyNumberFormat="1" applyFont="1" applyFill="1" applyBorder="1" applyAlignment="1">
      <alignment horizontal="right" vertical="center" indent="1"/>
    </xf>
    <xf numFmtId="0" fontId="45" fillId="0" borderId="0" xfId="0" applyFont="1" applyFill="1" applyAlignment="1">
      <alignment/>
    </xf>
    <xf numFmtId="0" fontId="44" fillId="0" borderId="32" xfId="0" applyFont="1" applyFill="1" applyBorder="1" applyAlignment="1">
      <alignment horizontal="left" vertical="center" wrapText="1" indent="2"/>
    </xf>
    <xf numFmtId="176" fontId="44" fillId="0" borderId="52" xfId="0" applyNumberFormat="1" applyFont="1" applyFill="1" applyBorder="1" applyAlignment="1">
      <alignment horizontal="right" vertical="center" indent="1"/>
    </xf>
    <xf numFmtId="176" fontId="44" fillId="0" borderId="53" xfId="0" applyNumberFormat="1" applyFont="1" applyFill="1" applyBorder="1" applyAlignment="1">
      <alignment horizontal="right" vertical="center" indent="1"/>
    </xf>
    <xf numFmtId="176" fontId="44" fillId="0" borderId="0" xfId="0" applyNumberFormat="1" applyFont="1" applyFill="1" applyBorder="1" applyAlignment="1">
      <alignment horizontal="right"/>
    </xf>
    <xf numFmtId="176" fontId="44" fillId="0" borderId="28" xfId="0" applyNumberFormat="1" applyFont="1" applyFill="1" applyBorder="1" applyAlignment="1">
      <alignment horizontal="right" vertical="center" indent="1"/>
    </xf>
    <xf numFmtId="0" fontId="45" fillId="0" borderId="31" xfId="0" applyFont="1" applyFill="1" applyBorder="1" applyAlignment="1">
      <alignment vertical="center" wrapText="1"/>
    </xf>
    <xf numFmtId="176" fontId="45" fillId="0" borderId="52" xfId="0" applyNumberFormat="1" applyFont="1" applyFill="1" applyBorder="1" applyAlignment="1">
      <alignment horizontal="right" vertical="center" indent="1"/>
    </xf>
    <xf numFmtId="176" fontId="45" fillId="0" borderId="53" xfId="0" applyNumberFormat="1" applyFont="1" applyFill="1" applyBorder="1" applyAlignment="1">
      <alignment horizontal="right" vertical="center" indent="1"/>
    </xf>
    <xf numFmtId="0" fontId="65" fillId="0" borderId="31" xfId="0" applyFont="1" applyFill="1" applyBorder="1" applyAlignment="1">
      <alignment vertical="center" wrapText="1"/>
    </xf>
    <xf numFmtId="0" fontId="44" fillId="0" borderId="31" xfId="0" applyFont="1" applyFill="1" applyBorder="1" applyAlignment="1">
      <alignment vertical="center" wrapText="1"/>
    </xf>
    <xf numFmtId="176" fontId="44" fillId="0" borderId="51" xfId="0" applyNumberFormat="1" applyFont="1" applyFill="1" applyBorder="1" applyAlignment="1">
      <alignment horizontal="right" vertical="center" indent="1"/>
    </xf>
    <xf numFmtId="176" fontId="44" fillId="0" borderId="31" xfId="0" applyNumberFormat="1" applyFont="1" applyFill="1" applyBorder="1" applyAlignment="1">
      <alignment horizontal="right" vertical="center" indent="1"/>
    </xf>
    <xf numFmtId="176" fontId="45" fillId="0" borderId="50" xfId="0" applyNumberFormat="1" applyFont="1" applyFill="1" applyBorder="1" applyAlignment="1">
      <alignment horizontal="right" vertical="center" indent="1"/>
    </xf>
    <xf numFmtId="176" fontId="45" fillId="0" borderId="0" xfId="0" applyNumberFormat="1" applyFont="1" applyFill="1" applyBorder="1" applyAlignment="1">
      <alignment horizontal="right" vertical="center" indent="1"/>
    </xf>
    <xf numFmtId="176" fontId="44" fillId="0" borderId="50" xfId="0" applyNumberFormat="1" applyFont="1" applyFill="1" applyBorder="1" applyAlignment="1" quotePrefix="1">
      <alignment horizontal="right" vertical="center" indent="1"/>
    </xf>
    <xf numFmtId="176" fontId="44" fillId="0" borderId="0" xfId="0" applyNumberFormat="1" applyFont="1" applyFill="1" applyBorder="1" applyAlignment="1" quotePrefix="1">
      <alignment horizontal="right" vertical="center" indent="1"/>
    </xf>
    <xf numFmtId="176" fontId="44" fillId="0" borderId="0" xfId="0" applyNumberFormat="1" applyFont="1" applyFill="1" applyBorder="1" applyAlignment="1">
      <alignment horizontal="right" vertical="center" indent="1"/>
    </xf>
    <xf numFmtId="176" fontId="44" fillId="0" borderId="50" xfId="0" applyNumberFormat="1" applyFont="1" applyFill="1" applyBorder="1" applyAlignment="1">
      <alignment horizontal="right" vertical="center" indent="1"/>
    </xf>
    <xf numFmtId="176" fontId="44" fillId="48" borderId="51" xfId="0" applyNumberFormat="1" applyFont="1" applyFill="1" applyBorder="1" applyAlignment="1" quotePrefix="1">
      <alignment horizontal="right" vertical="center" indent="1"/>
    </xf>
    <xf numFmtId="176" fontId="44" fillId="48" borderId="31" xfId="0" applyNumberFormat="1" applyFont="1" applyFill="1" applyBorder="1" applyAlignment="1" quotePrefix="1">
      <alignment horizontal="right" vertical="center" indent="1"/>
    </xf>
    <xf numFmtId="176" fontId="44" fillId="48" borderId="31" xfId="0" applyNumberFormat="1" applyFont="1" applyFill="1" applyBorder="1" applyAlignment="1">
      <alignment horizontal="right" vertical="center" indent="1"/>
    </xf>
    <xf numFmtId="176" fontId="44" fillId="0" borderId="51" xfId="0" applyNumberFormat="1" applyFont="1" applyFill="1" applyBorder="1" applyAlignment="1" quotePrefix="1">
      <alignment horizontal="right" vertical="center" indent="1"/>
    </xf>
    <xf numFmtId="176" fontId="44" fillId="0" borderId="31" xfId="0" applyNumberFormat="1" applyFont="1" applyFill="1" applyBorder="1" applyAlignment="1" quotePrefix="1">
      <alignment horizontal="right" vertical="center" indent="1"/>
    </xf>
    <xf numFmtId="0" fontId="71" fillId="0" borderId="53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vertical="center" wrapText="1"/>
    </xf>
    <xf numFmtId="164" fontId="44" fillId="0" borderId="50" xfId="0" applyNumberFormat="1" applyFont="1" applyFill="1" applyBorder="1" applyAlignment="1">
      <alignment horizontal="right" vertical="center" indent="1"/>
    </xf>
    <xf numFmtId="164" fontId="44" fillId="0" borderId="0" xfId="0" applyNumberFormat="1" applyFont="1" applyFill="1" applyBorder="1" applyAlignment="1">
      <alignment horizontal="right" vertical="center" indent="1"/>
    </xf>
    <xf numFmtId="164" fontId="44" fillId="0" borderId="0" xfId="0" applyNumberFormat="1" applyFont="1" applyFill="1" applyBorder="1" applyAlignment="1">
      <alignment horizontal="right"/>
    </xf>
    <xf numFmtId="164" fontId="44" fillId="0" borderId="50" xfId="0" applyNumberFormat="1" applyFont="1" applyFill="1" applyBorder="1" applyAlignment="1">
      <alignment horizontal="right"/>
    </xf>
    <xf numFmtId="164" fontId="63" fillId="48" borderId="0" xfId="0" applyNumberFormat="1" applyFont="1" applyFill="1" applyBorder="1" applyAlignment="1">
      <alignment horizontal="right" vertical="center" indent="1"/>
    </xf>
    <xf numFmtId="0" fontId="45" fillId="0" borderId="31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164" fontId="44" fillId="0" borderId="51" xfId="0" applyNumberFormat="1" applyFont="1" applyFill="1" applyBorder="1" applyAlignment="1">
      <alignment horizontal="right" vertical="center" indent="1"/>
    </xf>
    <xf numFmtId="164" fontId="44" fillId="0" borderId="31" xfId="0" applyNumberFormat="1" applyFont="1" applyFill="1" applyBorder="1" applyAlignment="1">
      <alignment horizontal="right" vertical="center" indent="1"/>
    </xf>
    <xf numFmtId="164" fontId="44" fillId="0" borderId="51" xfId="0" applyNumberFormat="1" applyFont="1" applyFill="1" applyBorder="1" applyAlignment="1">
      <alignment horizontal="right" indent="1"/>
    </xf>
    <xf numFmtId="164" fontId="44" fillId="0" borderId="31" xfId="0" applyNumberFormat="1" applyFont="1" applyFill="1" applyBorder="1" applyAlignment="1">
      <alignment horizontal="right" indent="1"/>
    </xf>
    <xf numFmtId="0" fontId="45" fillId="0" borderId="51" xfId="0" applyFont="1" applyFill="1" applyBorder="1" applyAlignment="1">
      <alignment vertical="center"/>
    </xf>
    <xf numFmtId="0" fontId="45" fillId="0" borderId="51" xfId="0" applyFont="1" applyFill="1" applyBorder="1" applyAlignment="1">
      <alignment horizontal="right" vertical="center" indent="1"/>
    </xf>
    <xf numFmtId="0" fontId="45" fillId="0" borderId="31" xfId="0" applyFont="1" applyFill="1" applyBorder="1" applyAlignment="1">
      <alignment horizontal="right" vertical="center" indent="1"/>
    </xf>
    <xf numFmtId="176" fontId="45" fillId="0" borderId="0" xfId="0" applyNumberFormat="1" applyFont="1" applyFill="1" applyBorder="1" applyAlignment="1">
      <alignment horizontal="right" indent="1"/>
    </xf>
    <xf numFmtId="2" fontId="45" fillId="0" borderId="28" xfId="0" applyNumberFormat="1" applyFont="1" applyFill="1" applyBorder="1" applyAlignment="1">
      <alignment horizontal="right" vertical="center" indent="1"/>
    </xf>
    <xf numFmtId="0" fontId="65" fillId="0" borderId="0" xfId="0" applyFont="1" applyAlignment="1">
      <alignment vertical="center" wrapText="1"/>
    </xf>
    <xf numFmtId="0" fontId="65" fillId="0" borderId="0" xfId="0" applyFont="1" applyBorder="1" applyAlignment="1">
      <alignment vertical="center" wrapText="1"/>
    </xf>
    <xf numFmtId="0" fontId="73" fillId="0" borderId="52" xfId="0" applyFont="1" applyBorder="1" applyAlignment="1">
      <alignment horizontal="center"/>
    </xf>
    <xf numFmtId="0" fontId="73" fillId="0" borderId="53" xfId="0" applyFont="1" applyBorder="1" applyAlignment="1">
      <alignment horizontal="center"/>
    </xf>
    <xf numFmtId="0" fontId="65" fillId="0" borderId="53" xfId="0" applyFont="1" applyFill="1" applyBorder="1" applyAlignment="1">
      <alignment horizontal="center" wrapText="1"/>
    </xf>
    <xf numFmtId="0" fontId="73" fillId="0" borderId="0" xfId="0" applyFont="1" applyBorder="1" applyAlignment="1">
      <alignment horizontal="center"/>
    </xf>
    <xf numFmtId="0" fontId="45" fillId="0" borderId="5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wrapText="1"/>
    </xf>
    <xf numFmtId="4" fontId="44" fillId="0" borderId="0" xfId="0" applyNumberFormat="1" applyFont="1" applyFill="1" applyBorder="1" applyAlignment="1">
      <alignment horizontal="right"/>
    </xf>
    <xf numFmtId="0" fontId="66" fillId="0" borderId="31" xfId="0" applyFont="1" applyBorder="1" applyAlignment="1">
      <alignment vertical="center" wrapText="1"/>
    </xf>
    <xf numFmtId="176" fontId="66" fillId="0" borderId="50" xfId="0" applyNumberFormat="1" applyFont="1" applyBorder="1" applyAlignment="1">
      <alignment horizontal="right" vertical="center" indent="1"/>
    </xf>
    <xf numFmtId="176" fontId="66" fillId="0" borderId="0" xfId="0" applyNumberFormat="1" applyFont="1" applyAlignment="1">
      <alignment horizontal="right" vertical="center" indent="1"/>
    </xf>
    <xf numFmtId="0" fontId="66" fillId="0" borderId="0" xfId="0" applyFont="1" applyAlignment="1">
      <alignment vertical="center" wrapText="1"/>
    </xf>
    <xf numFmtId="176" fontId="66" fillId="0" borderId="54" xfId="0" applyNumberFormat="1" applyFont="1" applyBorder="1" applyAlignment="1">
      <alignment horizontal="right" vertical="center" indent="1"/>
    </xf>
    <xf numFmtId="176" fontId="66" fillId="0" borderId="32" xfId="0" applyNumberFormat="1" applyFont="1" applyBorder="1" applyAlignment="1">
      <alignment horizontal="right" vertical="center" indent="1"/>
    </xf>
    <xf numFmtId="176" fontId="66" fillId="0" borderId="51" xfId="0" applyNumberFormat="1" applyFont="1" applyBorder="1" applyAlignment="1">
      <alignment horizontal="right" vertical="center" indent="1"/>
    </xf>
    <xf numFmtId="176" fontId="66" fillId="0" borderId="31" xfId="0" applyNumberFormat="1" applyFont="1" applyBorder="1" applyAlignment="1">
      <alignment horizontal="right" vertical="center" indent="1"/>
    </xf>
    <xf numFmtId="176" fontId="66" fillId="0" borderId="0" xfId="0" applyNumberFormat="1" applyFont="1" applyBorder="1" applyAlignment="1">
      <alignment horizontal="right" vertical="center" indent="1"/>
    </xf>
    <xf numFmtId="176" fontId="66" fillId="48" borderId="51" xfId="0" applyNumberFormat="1" applyFont="1" applyFill="1" applyBorder="1" applyAlignment="1">
      <alignment horizontal="right" vertical="center" indent="1"/>
    </xf>
    <xf numFmtId="176" fontId="66" fillId="48" borderId="31" xfId="0" applyNumberFormat="1" applyFont="1" applyFill="1" applyBorder="1" applyAlignment="1">
      <alignment horizontal="right" vertical="center" indent="1"/>
    </xf>
    <xf numFmtId="176" fontId="66" fillId="0" borderId="31" xfId="0" applyNumberFormat="1" applyFont="1" applyFill="1" applyBorder="1" applyAlignment="1">
      <alignment horizontal="right" vertical="center" indent="1"/>
    </xf>
    <xf numFmtId="176" fontId="66" fillId="0" borderId="0" xfId="0" applyNumberFormat="1" applyFont="1" applyFill="1" applyBorder="1" applyAlignment="1">
      <alignment horizontal="right" vertical="center" indent="1"/>
    </xf>
    <xf numFmtId="176" fontId="66" fillId="0" borderId="51" xfId="0" applyNumberFormat="1" applyFont="1" applyFill="1" applyBorder="1" applyAlignment="1">
      <alignment horizontal="right" vertical="center" indent="1"/>
    </xf>
    <xf numFmtId="0" fontId="65" fillId="0" borderId="31" xfId="0" applyFont="1" applyBorder="1" applyAlignment="1">
      <alignment vertical="center" wrapText="1"/>
    </xf>
    <xf numFmtId="176" fontId="72" fillId="0" borderId="51" xfId="0" applyNumberFormat="1" applyFont="1" applyBorder="1" applyAlignment="1">
      <alignment horizontal="right" vertical="center" indent="1"/>
    </xf>
    <xf numFmtId="176" fontId="72" fillId="0" borderId="31" xfId="0" applyNumberFormat="1" applyFont="1" applyBorder="1" applyAlignment="1">
      <alignment horizontal="right" vertical="center" indent="1"/>
    </xf>
    <xf numFmtId="176" fontId="72" fillId="0" borderId="0" xfId="0" applyNumberFormat="1" applyFont="1" applyBorder="1" applyAlignment="1">
      <alignment horizontal="right" vertical="center" indent="1"/>
    </xf>
    <xf numFmtId="176" fontId="66" fillId="0" borderId="0" xfId="0" applyNumberFormat="1" applyFont="1" applyAlignment="1">
      <alignment horizontal="right" vertical="center" wrapText="1" indent="1"/>
    </xf>
    <xf numFmtId="176" fontId="66" fillId="0" borderId="31" xfId="0" applyNumberFormat="1" applyFont="1" applyBorder="1" applyAlignment="1">
      <alignment horizontal="right" vertical="center" wrapText="1" indent="1"/>
    </xf>
    <xf numFmtId="176" fontId="45" fillId="48" borderId="55" xfId="109" applyNumberFormat="1" applyFont="1" applyFill="1" applyBorder="1" applyAlignment="1">
      <alignment horizontal="right" vertical="center" indent="1"/>
      <protection/>
    </xf>
    <xf numFmtId="176" fontId="44" fillId="48" borderId="55" xfId="109" applyNumberFormat="1" applyFont="1" applyFill="1" applyBorder="1" applyAlignment="1">
      <alignment horizontal="right" vertical="center" indent="1"/>
      <protection/>
    </xf>
    <xf numFmtId="176" fontId="45" fillId="48" borderId="56" xfId="109" applyNumberFormat="1" applyFont="1" applyFill="1" applyBorder="1" applyAlignment="1">
      <alignment horizontal="right" vertical="center" indent="1"/>
      <protection/>
    </xf>
    <xf numFmtId="176" fontId="44" fillId="48" borderId="57" xfId="109" applyNumberFormat="1" applyFont="1" applyFill="1" applyBorder="1" applyAlignment="1">
      <alignment horizontal="right" vertical="center" indent="1"/>
      <protection/>
    </xf>
    <xf numFmtId="176" fontId="45" fillId="48" borderId="57" xfId="109" applyNumberFormat="1" applyFont="1" applyFill="1" applyBorder="1" applyAlignment="1">
      <alignment horizontal="right" vertical="center" indent="1"/>
      <protection/>
    </xf>
    <xf numFmtId="176" fontId="45" fillId="0" borderId="20" xfId="109" applyNumberFormat="1" applyFont="1" applyFill="1" applyBorder="1" applyAlignment="1">
      <alignment horizontal="right" vertical="center" indent="1"/>
      <protection/>
    </xf>
    <xf numFmtId="176" fontId="45" fillId="0" borderId="18" xfId="109" applyNumberFormat="1" applyFont="1" applyFill="1" applyBorder="1" applyAlignment="1">
      <alignment horizontal="right" vertical="center" indent="1"/>
      <protection/>
    </xf>
    <xf numFmtId="3" fontId="44" fillId="48" borderId="0" xfId="109" applyNumberFormat="1" applyFont="1" applyFill="1" applyBorder="1" applyAlignment="1">
      <alignment vertical="center"/>
      <protection/>
    </xf>
    <xf numFmtId="176" fontId="44" fillId="48" borderId="28" xfId="109" applyNumberFormat="1" applyFont="1" applyFill="1" applyBorder="1" applyAlignment="1">
      <alignment horizontal="right" vertical="center" indent="1"/>
      <protection/>
    </xf>
    <xf numFmtId="176" fontId="45" fillId="48" borderId="28" xfId="109" applyNumberFormat="1" applyFont="1" applyFill="1" applyBorder="1" applyAlignment="1">
      <alignment horizontal="right" vertical="center" indent="1"/>
      <protection/>
    </xf>
    <xf numFmtId="0" fontId="47" fillId="0" borderId="0" xfId="0" applyFont="1" applyFill="1" applyBorder="1" applyAlignment="1">
      <alignment vertical="center" wrapText="1"/>
    </xf>
    <xf numFmtId="0" fontId="47" fillId="0" borderId="20" xfId="0" applyFont="1" applyFill="1" applyBorder="1" applyAlignment="1">
      <alignment vertical="center"/>
    </xf>
    <xf numFmtId="0" fontId="48" fillId="0" borderId="58" xfId="0" applyFont="1" applyFill="1" applyBorder="1" applyAlignment="1">
      <alignment horizontal="right" vertical="center"/>
    </xf>
    <xf numFmtId="0" fontId="48" fillId="0" borderId="20" xfId="0" applyFont="1" applyFill="1" applyBorder="1" applyAlignment="1">
      <alignment vertical="center"/>
    </xf>
    <xf numFmtId="185" fontId="47" fillId="49" borderId="59" xfId="0" applyNumberFormat="1" applyFont="1" applyFill="1" applyBorder="1" applyAlignment="1">
      <alignment horizontal="right" vertical="center" wrapText="1"/>
    </xf>
    <xf numFmtId="185" fontId="48" fillId="0" borderId="60" xfId="0" applyNumberFormat="1" applyFont="1" applyFill="1" applyBorder="1" applyAlignment="1">
      <alignment horizontal="right"/>
    </xf>
    <xf numFmtId="185" fontId="48" fillId="0" borderId="14" xfId="0" applyNumberFormat="1" applyFont="1" applyFill="1" applyBorder="1" applyAlignment="1">
      <alignment horizontal="right"/>
    </xf>
    <xf numFmtId="185" fontId="48" fillId="0" borderId="20" xfId="0" applyNumberFormat="1" applyFont="1" applyFill="1" applyBorder="1" applyAlignment="1">
      <alignment horizontal="right"/>
    </xf>
    <xf numFmtId="185" fontId="47" fillId="49" borderId="60" xfId="0" applyNumberFormat="1" applyFont="1" applyFill="1" applyBorder="1" applyAlignment="1">
      <alignment horizontal="right"/>
    </xf>
    <xf numFmtId="185" fontId="48" fillId="0" borderId="61" xfId="0" applyNumberFormat="1" applyFont="1" applyFill="1" applyBorder="1" applyAlignment="1">
      <alignment horizontal="right"/>
    </xf>
    <xf numFmtId="185" fontId="48" fillId="0" borderId="62" xfId="0" applyNumberFormat="1" applyFont="1" applyFill="1" applyBorder="1" applyAlignment="1">
      <alignment horizontal="right"/>
    </xf>
    <xf numFmtId="185" fontId="47" fillId="49" borderId="14" xfId="0" applyNumberFormat="1" applyFont="1" applyFill="1" applyBorder="1" applyAlignment="1">
      <alignment horizontal="right"/>
    </xf>
    <xf numFmtId="185" fontId="47" fillId="49" borderId="20" xfId="0" applyNumberFormat="1" applyFont="1" applyFill="1" applyBorder="1" applyAlignment="1">
      <alignment horizontal="right"/>
    </xf>
    <xf numFmtId="185" fontId="47" fillId="49" borderId="63" xfId="0" applyNumberFormat="1" applyFont="1" applyFill="1" applyBorder="1" applyAlignment="1">
      <alignment horizontal="right" vertical="center" wrapText="1"/>
    </xf>
    <xf numFmtId="185" fontId="48" fillId="0" borderId="64" xfId="0" applyNumberFormat="1" applyFont="1" applyFill="1" applyBorder="1" applyAlignment="1">
      <alignment horizontal="right"/>
    </xf>
    <xf numFmtId="185" fontId="48" fillId="0" borderId="65" xfId="0" applyNumberFormat="1" applyFont="1" applyFill="1" applyBorder="1" applyAlignment="1">
      <alignment horizontal="right"/>
    </xf>
    <xf numFmtId="185" fontId="48" fillId="0" borderId="66" xfId="0" applyNumberFormat="1" applyFont="1" applyFill="1" applyBorder="1" applyAlignment="1">
      <alignment horizontal="right"/>
    </xf>
    <xf numFmtId="185" fontId="48" fillId="0" borderId="67" xfId="0" applyNumberFormat="1" applyFont="1" applyFill="1" applyBorder="1" applyAlignment="1">
      <alignment horizontal="right"/>
    </xf>
    <xf numFmtId="185" fontId="48" fillId="0" borderId="68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 vertical="center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185" fontId="47" fillId="49" borderId="62" xfId="0" applyNumberFormat="1" applyFont="1" applyFill="1" applyBorder="1" applyAlignment="1">
      <alignment horizontal="right"/>
    </xf>
    <xf numFmtId="185" fontId="47" fillId="49" borderId="69" xfId="0" applyNumberFormat="1" applyFont="1" applyFill="1" applyBorder="1" applyAlignment="1">
      <alignment horizontal="right" vertical="center" wrapText="1"/>
    </xf>
    <xf numFmtId="185" fontId="48" fillId="0" borderId="70" xfId="0" applyNumberFormat="1" applyFont="1" applyFill="1" applyBorder="1" applyAlignment="1">
      <alignment horizontal="right"/>
    </xf>
    <xf numFmtId="185" fontId="48" fillId="0" borderId="71" xfId="0" applyNumberFormat="1" applyFont="1" applyFill="1" applyBorder="1" applyAlignment="1">
      <alignment horizontal="right"/>
    </xf>
    <xf numFmtId="185" fontId="48" fillId="0" borderId="24" xfId="0" applyNumberFormat="1" applyFont="1" applyFill="1" applyBorder="1" applyAlignment="1">
      <alignment horizontal="right"/>
    </xf>
    <xf numFmtId="185" fontId="48" fillId="0" borderId="72" xfId="0" applyNumberFormat="1" applyFont="1" applyFill="1" applyBorder="1" applyAlignment="1">
      <alignment horizontal="right"/>
    </xf>
    <xf numFmtId="185" fontId="48" fillId="49" borderId="73" xfId="0" applyNumberFormat="1" applyFont="1" applyFill="1" applyBorder="1" applyAlignment="1">
      <alignment horizontal="right" vertical="center"/>
    </xf>
    <xf numFmtId="185" fontId="48" fillId="0" borderId="74" xfId="0" applyNumberFormat="1" applyFont="1" applyFill="1" applyBorder="1" applyAlignment="1">
      <alignment horizontal="right"/>
    </xf>
    <xf numFmtId="185" fontId="48" fillId="0" borderId="75" xfId="0" applyNumberFormat="1" applyFont="1" applyFill="1" applyBorder="1" applyAlignment="1">
      <alignment horizontal="right"/>
    </xf>
    <xf numFmtId="185" fontId="48" fillId="0" borderId="76" xfId="0" applyNumberFormat="1" applyFont="1" applyFill="1" applyBorder="1" applyAlignment="1">
      <alignment horizontal="right"/>
    </xf>
    <xf numFmtId="185" fontId="48" fillId="0" borderId="58" xfId="0" applyNumberFormat="1" applyFont="1" applyFill="1" applyBorder="1" applyAlignment="1">
      <alignment horizontal="right"/>
    </xf>
    <xf numFmtId="185" fontId="48" fillId="0" borderId="77" xfId="0" applyNumberFormat="1" applyFont="1" applyFill="1" applyBorder="1" applyAlignment="1">
      <alignment horizontal="right"/>
    </xf>
    <xf numFmtId="0" fontId="47" fillId="50" borderId="78" xfId="0" applyFont="1" applyFill="1" applyBorder="1" applyAlignment="1">
      <alignment horizontal="right" vertical="center" wrapText="1"/>
    </xf>
    <xf numFmtId="0" fontId="48" fillId="50" borderId="79" xfId="0" applyFont="1" applyFill="1" applyBorder="1" applyAlignment="1">
      <alignment horizontal="right" vertical="center" wrapText="1"/>
    </xf>
    <xf numFmtId="0" fontId="48" fillId="50" borderId="80" xfId="0" applyFont="1" applyFill="1" applyBorder="1" applyAlignment="1">
      <alignment horizontal="right" vertical="center" wrapText="1"/>
    </xf>
    <xf numFmtId="0" fontId="48" fillId="50" borderId="81" xfId="0" applyFont="1" applyFill="1" applyBorder="1" applyAlignment="1">
      <alignment horizontal="right" vertical="center" wrapText="1"/>
    </xf>
    <xf numFmtId="185" fontId="47" fillId="49" borderId="82" xfId="0" applyNumberFormat="1" applyFont="1" applyFill="1" applyBorder="1" applyAlignment="1">
      <alignment horizontal="right" vertical="center" wrapText="1"/>
    </xf>
    <xf numFmtId="185" fontId="48" fillId="0" borderId="83" xfId="0" applyNumberFormat="1" applyFont="1" applyFill="1" applyBorder="1" applyAlignment="1">
      <alignment horizontal="right"/>
    </xf>
    <xf numFmtId="185" fontId="48" fillId="0" borderId="84" xfId="0" applyNumberFormat="1" applyFont="1" applyFill="1" applyBorder="1" applyAlignment="1">
      <alignment horizontal="right"/>
    </xf>
    <xf numFmtId="0" fontId="48" fillId="49" borderId="73" xfId="0" applyFont="1" applyFill="1" applyBorder="1" applyAlignment="1">
      <alignment horizontal="right" vertical="center"/>
    </xf>
    <xf numFmtId="0" fontId="48" fillId="0" borderId="74" xfId="0" applyFont="1" applyFill="1" applyBorder="1" applyAlignment="1">
      <alignment horizontal="right" vertical="center"/>
    </xf>
    <xf numFmtId="0" fontId="48" fillId="0" borderId="75" xfId="0" applyFont="1" applyFill="1" applyBorder="1" applyAlignment="1">
      <alignment horizontal="right" vertical="center"/>
    </xf>
    <xf numFmtId="0" fontId="48" fillId="0" borderId="77" xfId="0" applyFont="1" applyFill="1" applyBorder="1" applyAlignment="1">
      <alignment horizontal="right" vertical="center"/>
    </xf>
    <xf numFmtId="0" fontId="47" fillId="0" borderId="75" xfId="0" applyFont="1" applyFill="1" applyBorder="1" applyAlignment="1">
      <alignment horizontal="right" vertical="center"/>
    </xf>
    <xf numFmtId="185" fontId="47" fillId="0" borderId="75" xfId="0" applyNumberFormat="1" applyFont="1" applyFill="1" applyBorder="1" applyAlignment="1">
      <alignment horizontal="right"/>
    </xf>
    <xf numFmtId="0" fontId="44" fillId="0" borderId="85" xfId="0" applyFont="1" applyFill="1" applyBorder="1" applyAlignment="1">
      <alignment/>
    </xf>
    <xf numFmtId="185" fontId="47" fillId="49" borderId="61" xfId="0" applyNumberFormat="1" applyFont="1" applyFill="1" applyBorder="1" applyAlignment="1">
      <alignment horizontal="right"/>
    </xf>
    <xf numFmtId="0" fontId="48" fillId="50" borderId="86" xfId="0" applyFont="1" applyFill="1" applyBorder="1" applyAlignment="1">
      <alignment horizontal="right" vertical="center" wrapText="1"/>
    </xf>
    <xf numFmtId="0" fontId="48" fillId="0" borderId="76" xfId="0" applyFont="1" applyFill="1" applyBorder="1" applyAlignment="1">
      <alignment horizontal="right" vertical="center"/>
    </xf>
    <xf numFmtId="185" fontId="48" fillId="0" borderId="26" xfId="0" applyNumberFormat="1" applyFont="1" applyFill="1" applyBorder="1" applyAlignment="1">
      <alignment horizontal="right"/>
    </xf>
    <xf numFmtId="0" fontId="48" fillId="50" borderId="87" xfId="0" applyFont="1" applyFill="1" applyBorder="1" applyAlignment="1">
      <alignment horizontal="right" vertical="center" wrapText="1"/>
    </xf>
    <xf numFmtId="0" fontId="48" fillId="0" borderId="88" xfId="0" applyFont="1" applyFill="1" applyBorder="1" applyAlignment="1">
      <alignment horizontal="right" vertical="center"/>
    </xf>
    <xf numFmtId="9" fontId="48" fillId="0" borderId="89" xfId="115" applyFont="1" applyFill="1" applyBorder="1" applyAlignment="1">
      <alignment horizontal="right"/>
    </xf>
    <xf numFmtId="0" fontId="47" fillId="50" borderId="90" xfId="0" applyFont="1" applyFill="1" applyBorder="1" applyAlignment="1">
      <alignment horizontal="right" vertical="center" wrapText="1"/>
    </xf>
    <xf numFmtId="0" fontId="47" fillId="49" borderId="58" xfId="0" applyFont="1" applyFill="1" applyBorder="1" applyAlignment="1">
      <alignment horizontal="right" vertical="center"/>
    </xf>
    <xf numFmtId="185" fontId="47" fillId="49" borderId="67" xfId="0" applyNumberFormat="1" applyFont="1" applyFill="1" applyBorder="1" applyAlignment="1">
      <alignment horizontal="right"/>
    </xf>
    <xf numFmtId="185" fontId="47" fillId="49" borderId="91" xfId="0" applyNumberFormat="1" applyFont="1" applyFill="1" applyBorder="1" applyAlignment="1">
      <alignment horizontal="right" vertical="center"/>
    </xf>
    <xf numFmtId="185" fontId="47" fillId="49" borderId="61" xfId="0" applyNumberFormat="1" applyFont="1" applyFill="1" applyBorder="1" applyAlignment="1">
      <alignment horizontal="right" vertical="center"/>
    </xf>
    <xf numFmtId="185" fontId="47" fillId="49" borderId="92" xfId="0" applyNumberFormat="1" applyFont="1" applyFill="1" applyBorder="1" applyAlignment="1">
      <alignment horizontal="right" vertical="center"/>
    </xf>
    <xf numFmtId="185" fontId="47" fillId="49" borderId="58" xfId="0" applyNumberFormat="1" applyFont="1" applyFill="1" applyBorder="1" applyAlignment="1">
      <alignment horizontal="right"/>
    </xf>
    <xf numFmtId="185" fontId="47" fillId="49" borderId="67" xfId="0" applyNumberFormat="1" applyFont="1" applyFill="1" applyBorder="1" applyAlignment="1">
      <alignment horizontal="right" vertical="center"/>
    </xf>
    <xf numFmtId="0" fontId="47" fillId="50" borderId="93" xfId="0" applyFont="1" applyFill="1" applyBorder="1" applyAlignment="1">
      <alignment horizontal="right" vertical="center" wrapText="1"/>
    </xf>
    <xf numFmtId="0" fontId="48" fillId="50" borderId="94" xfId="0" applyFont="1" applyFill="1" applyBorder="1" applyAlignment="1">
      <alignment horizontal="right" vertical="center" wrapText="1"/>
    </xf>
    <xf numFmtId="0" fontId="47" fillId="50" borderId="58" xfId="0" applyFont="1" applyFill="1" applyBorder="1" applyAlignment="1">
      <alignment horizontal="right" vertical="center" wrapText="1"/>
    </xf>
    <xf numFmtId="0" fontId="48" fillId="49" borderId="61" xfId="0" applyFont="1" applyFill="1" applyBorder="1" applyAlignment="1">
      <alignment horizontal="right" vertical="center"/>
    </xf>
    <xf numFmtId="185" fontId="47" fillId="49" borderId="61" xfId="0" applyNumberFormat="1" applyFont="1" applyFill="1" applyBorder="1" applyAlignment="1">
      <alignment horizontal="right" vertical="center" wrapText="1"/>
    </xf>
    <xf numFmtId="185" fontId="48" fillId="49" borderId="61" xfId="0" applyNumberFormat="1" applyFont="1" applyFill="1" applyBorder="1" applyAlignment="1">
      <alignment horizontal="right" vertical="center"/>
    </xf>
    <xf numFmtId="185" fontId="48" fillId="49" borderId="59" xfId="0" applyNumberFormat="1" applyFont="1" applyFill="1" applyBorder="1" applyAlignment="1">
      <alignment horizontal="right" vertical="center"/>
    </xf>
    <xf numFmtId="9" fontId="48" fillId="0" borderId="74" xfId="115" applyNumberFormat="1" applyFont="1" applyFill="1" applyBorder="1" applyAlignment="1">
      <alignment horizontal="right" vertical="center"/>
    </xf>
    <xf numFmtId="9" fontId="48" fillId="0" borderId="60" xfId="115" applyNumberFormat="1" applyFont="1" applyFill="1" applyBorder="1" applyAlignment="1">
      <alignment horizontal="right" vertical="center"/>
    </xf>
    <xf numFmtId="9" fontId="48" fillId="0" borderId="64" xfId="115" applyNumberFormat="1" applyFont="1" applyFill="1" applyBorder="1" applyAlignment="1">
      <alignment horizontal="right" vertical="center"/>
    </xf>
    <xf numFmtId="0" fontId="47" fillId="0" borderId="77" xfId="0" applyFont="1" applyFill="1" applyBorder="1" applyAlignment="1">
      <alignment horizontal="right" vertical="center"/>
    </xf>
    <xf numFmtId="185" fontId="47" fillId="49" borderId="82" xfId="0" applyNumberFormat="1" applyFont="1" applyFill="1" applyBorder="1" applyAlignment="1">
      <alignment horizontal="right"/>
    </xf>
    <xf numFmtId="9" fontId="48" fillId="0" borderId="61" xfId="115" applyNumberFormat="1" applyFont="1" applyFill="1" applyBorder="1" applyAlignment="1">
      <alignment horizontal="right"/>
    </xf>
    <xf numFmtId="9" fontId="47" fillId="49" borderId="61" xfId="115" applyNumberFormat="1" applyFont="1" applyFill="1" applyBorder="1" applyAlignment="1">
      <alignment horizontal="right"/>
    </xf>
    <xf numFmtId="9" fontId="48" fillId="0" borderId="67" xfId="115" applyNumberFormat="1" applyFont="1" applyFill="1" applyBorder="1" applyAlignment="1">
      <alignment horizontal="right"/>
    </xf>
    <xf numFmtId="9" fontId="48" fillId="0" borderId="58" xfId="0" applyNumberFormat="1" applyFont="1" applyFill="1" applyBorder="1" applyAlignment="1">
      <alignment horizontal="right"/>
    </xf>
    <xf numFmtId="9" fontId="48" fillId="0" borderId="91" xfId="115" applyNumberFormat="1" applyFont="1" applyFill="1" applyBorder="1" applyAlignment="1">
      <alignment horizontal="right" vertical="center"/>
    </xf>
    <xf numFmtId="9" fontId="48" fillId="0" borderId="95" xfId="115" applyNumberFormat="1" applyFont="1" applyFill="1" applyBorder="1" applyAlignment="1">
      <alignment horizontal="right" vertical="center"/>
    </xf>
    <xf numFmtId="185" fontId="47" fillId="0" borderId="59" xfId="0" applyNumberFormat="1" applyFont="1" applyFill="1" applyBorder="1" applyAlignment="1">
      <alignment horizontal="right"/>
    </xf>
    <xf numFmtId="9" fontId="48" fillId="0" borderId="61" xfId="115" applyFont="1" applyFill="1" applyBorder="1" applyAlignment="1">
      <alignment horizontal="right" vertical="center"/>
    </xf>
    <xf numFmtId="9" fontId="48" fillId="0" borderId="67" xfId="115" applyFont="1" applyFill="1" applyBorder="1" applyAlignment="1">
      <alignment horizontal="right" vertical="center"/>
    </xf>
    <xf numFmtId="185" fontId="47" fillId="49" borderId="59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9" fontId="48" fillId="0" borderId="96" xfId="115" applyFont="1" applyFill="1" applyBorder="1" applyAlignment="1">
      <alignment horizontal="right"/>
    </xf>
    <xf numFmtId="176" fontId="45" fillId="0" borderId="97" xfId="0" applyNumberFormat="1" applyFont="1" applyFill="1" applyBorder="1" applyAlignment="1">
      <alignment horizontal="right" vertical="center" indent="1"/>
    </xf>
    <xf numFmtId="176" fontId="44" fillId="0" borderId="97" xfId="0" applyNumberFormat="1" applyFont="1" applyFill="1" applyBorder="1" applyAlignment="1">
      <alignment horizontal="right" vertical="center" indent="1"/>
    </xf>
    <xf numFmtId="176" fontId="44" fillId="0" borderId="98" xfId="0" applyNumberFormat="1" applyFont="1" applyFill="1" applyBorder="1" applyAlignment="1">
      <alignment horizontal="right" vertical="center" indent="1"/>
    </xf>
    <xf numFmtId="176" fontId="44" fillId="0" borderId="99" xfId="0" applyNumberFormat="1" applyFont="1" applyFill="1" applyBorder="1" applyAlignment="1">
      <alignment horizontal="right" vertical="center" indent="1"/>
    </xf>
    <xf numFmtId="176" fontId="45" fillId="0" borderId="98" xfId="0" applyNumberFormat="1" applyFont="1" applyFill="1" applyBorder="1" applyAlignment="1">
      <alignment horizontal="right" vertical="center" indent="1"/>
    </xf>
    <xf numFmtId="176" fontId="63" fillId="47" borderId="100" xfId="0" applyNumberFormat="1" applyFont="1" applyFill="1" applyBorder="1" applyAlignment="1">
      <alignment horizontal="right" vertical="center" indent="1"/>
    </xf>
    <xf numFmtId="176" fontId="62" fillId="47" borderId="100" xfId="0" applyNumberFormat="1" applyFont="1" applyFill="1" applyBorder="1" applyAlignment="1">
      <alignment horizontal="right" vertical="center" indent="1"/>
    </xf>
    <xf numFmtId="176" fontId="63" fillId="47" borderId="0" xfId="109" applyNumberFormat="1" applyFont="1" applyFill="1" applyBorder="1" applyAlignment="1">
      <alignment horizontal="right" vertical="center" indent="1"/>
      <protection/>
    </xf>
    <xf numFmtId="4" fontId="63" fillId="47" borderId="0" xfId="109" applyNumberFormat="1" applyFont="1" applyFill="1" applyBorder="1" applyAlignment="1">
      <alignment horizontal="right" vertical="center" indent="1"/>
      <protection/>
    </xf>
    <xf numFmtId="4" fontId="62" fillId="47" borderId="0" xfId="109" applyNumberFormat="1" applyFont="1" applyFill="1" applyBorder="1" applyAlignment="1">
      <alignment horizontal="right" vertical="center" indent="1"/>
      <protection/>
    </xf>
    <xf numFmtId="9" fontId="63" fillId="47" borderId="0" xfId="115" applyFont="1" applyFill="1" applyBorder="1" applyAlignment="1">
      <alignment horizontal="right" vertical="center" indent="1"/>
    </xf>
    <xf numFmtId="9" fontId="62" fillId="47" borderId="0" xfId="115" applyFont="1" applyFill="1" applyBorder="1" applyAlignment="1">
      <alignment horizontal="right" vertical="center" indent="1"/>
    </xf>
    <xf numFmtId="176" fontId="62" fillId="47" borderId="0" xfId="109" applyNumberFormat="1" applyFont="1" applyFill="1" applyBorder="1" applyAlignment="1">
      <alignment horizontal="right" vertical="center" indent="1"/>
      <protection/>
    </xf>
    <xf numFmtId="3" fontId="63" fillId="47" borderId="0" xfId="109" applyNumberFormat="1" applyFont="1" applyFill="1" applyBorder="1" applyAlignment="1">
      <alignment horizontal="right" vertical="center" indent="1"/>
      <protection/>
    </xf>
    <xf numFmtId="176" fontId="45" fillId="0" borderId="101" xfId="0" applyNumberFormat="1" applyFont="1" applyFill="1" applyBorder="1" applyAlignment="1">
      <alignment horizontal="right" vertical="center" indent="1"/>
    </xf>
    <xf numFmtId="0" fontId="44" fillId="0" borderId="0" xfId="0" applyFont="1" applyFill="1" applyBorder="1" applyAlignment="1">
      <alignment/>
    </xf>
    <xf numFmtId="0" fontId="48" fillId="0" borderId="102" xfId="0" applyFont="1" applyFill="1" applyBorder="1" applyAlignment="1">
      <alignment horizontal="right" vertical="center"/>
    </xf>
    <xf numFmtId="0" fontId="47" fillId="49" borderId="73" xfId="0" applyFont="1" applyFill="1" applyBorder="1" applyAlignment="1">
      <alignment horizontal="right" vertical="center"/>
    </xf>
    <xf numFmtId="185" fontId="48" fillId="0" borderId="18" xfId="0" applyNumberFormat="1" applyFont="1" applyFill="1" applyBorder="1" applyAlignment="1">
      <alignment horizontal="right"/>
    </xf>
    <xf numFmtId="9" fontId="48" fillId="0" borderId="61" xfId="0" applyNumberFormat="1" applyFont="1" applyFill="1" applyBorder="1" applyAlignment="1">
      <alignment horizontal="right"/>
    </xf>
    <xf numFmtId="185" fontId="48" fillId="0" borderId="103" xfId="0" applyNumberFormat="1" applyFont="1" applyFill="1" applyBorder="1" applyAlignment="1">
      <alignment horizontal="right"/>
    </xf>
    <xf numFmtId="185" fontId="47" fillId="49" borderId="63" xfId="0" applyNumberFormat="1" applyFont="1" applyFill="1" applyBorder="1" applyAlignment="1">
      <alignment horizontal="right" vertical="center"/>
    </xf>
    <xf numFmtId="185" fontId="48" fillId="0" borderId="102" xfId="0" applyNumberFormat="1" applyFont="1" applyFill="1" applyBorder="1" applyAlignment="1">
      <alignment horizontal="right"/>
    </xf>
    <xf numFmtId="185" fontId="47" fillId="49" borderId="73" xfId="0" applyNumberFormat="1" applyFont="1" applyFill="1" applyBorder="1" applyAlignment="1">
      <alignment horizontal="right" vertical="center"/>
    </xf>
    <xf numFmtId="185" fontId="47" fillId="49" borderId="59" xfId="0" applyNumberFormat="1" applyFont="1" applyFill="1" applyBorder="1" applyAlignment="1">
      <alignment horizontal="right" vertical="center"/>
    </xf>
    <xf numFmtId="185" fontId="47" fillId="49" borderId="58" xfId="0" applyNumberFormat="1" applyFont="1" applyFill="1" applyBorder="1" applyAlignment="1">
      <alignment horizontal="right" vertical="center"/>
    </xf>
    <xf numFmtId="185" fontId="47" fillId="49" borderId="63" xfId="0" applyNumberFormat="1" applyFont="1" applyFill="1" applyBorder="1" applyAlignment="1">
      <alignment horizontal="right"/>
    </xf>
    <xf numFmtId="185" fontId="47" fillId="0" borderId="20" xfId="0" applyNumberFormat="1" applyFont="1" applyFill="1" applyBorder="1" applyAlignment="1">
      <alignment horizontal="right"/>
    </xf>
    <xf numFmtId="9" fontId="48" fillId="0" borderId="67" xfId="0" applyNumberFormat="1" applyFont="1" applyFill="1" applyBorder="1" applyAlignment="1">
      <alignment horizontal="right"/>
    </xf>
    <xf numFmtId="164" fontId="44" fillId="0" borderId="33" xfId="0" applyNumberFormat="1" applyFont="1" applyFill="1" applyBorder="1" applyAlignment="1">
      <alignment horizontal="right"/>
    </xf>
    <xf numFmtId="0" fontId="44" fillId="48" borderId="0" xfId="109" applyFont="1" applyFill="1" applyBorder="1">
      <alignment/>
      <protection/>
    </xf>
    <xf numFmtId="0" fontId="44" fillId="48" borderId="0" xfId="109" applyFont="1" applyFill="1">
      <alignment/>
      <protection/>
    </xf>
    <xf numFmtId="0" fontId="44" fillId="0" borderId="0" xfId="109" applyFont="1" applyFill="1" applyAlignment="1">
      <alignment vertical="center" wrapText="1"/>
      <protection/>
    </xf>
    <xf numFmtId="0" fontId="44" fillId="0" borderId="0" xfId="109" applyFont="1" applyFill="1" applyAlignment="1">
      <alignment vertical="center"/>
      <protection/>
    </xf>
    <xf numFmtId="176" fontId="44" fillId="48" borderId="0" xfId="109" applyNumberFormat="1" applyFont="1" applyFill="1" applyBorder="1">
      <alignment/>
      <protection/>
    </xf>
    <xf numFmtId="176" fontId="44" fillId="48" borderId="0" xfId="109" applyNumberFormat="1" applyFont="1" applyFill="1">
      <alignment/>
      <protection/>
    </xf>
    <xf numFmtId="176" fontId="62" fillId="47" borderId="104" xfId="109" applyNumberFormat="1" applyFont="1" applyFill="1" applyBorder="1" applyAlignment="1">
      <alignment horizontal="right" vertical="center" indent="1"/>
      <protection/>
    </xf>
    <xf numFmtId="176" fontId="63" fillId="47" borderId="104" xfId="109" applyNumberFormat="1" applyFont="1" applyFill="1" applyBorder="1" applyAlignment="1">
      <alignment horizontal="right" vertical="center" indent="1"/>
      <protection/>
    </xf>
    <xf numFmtId="0" fontId="44" fillId="48" borderId="0" xfId="109" applyFont="1" applyFill="1" applyBorder="1" applyAlignment="1">
      <alignment vertical="center" wrapText="1"/>
      <protection/>
    </xf>
    <xf numFmtId="0" fontId="44" fillId="48" borderId="18" xfId="109" applyFont="1" applyFill="1" applyBorder="1" applyAlignment="1">
      <alignment horizontal="left" vertical="center" indent="2"/>
      <protection/>
    </xf>
    <xf numFmtId="176" fontId="63" fillId="47" borderId="105" xfId="109" applyNumberFormat="1" applyFont="1" applyFill="1" applyBorder="1" applyAlignment="1">
      <alignment horizontal="right" vertical="center" indent="1"/>
      <protection/>
    </xf>
    <xf numFmtId="176" fontId="63" fillId="47" borderId="106" xfId="109" applyNumberFormat="1" applyFont="1" applyFill="1" applyBorder="1" applyAlignment="1">
      <alignment horizontal="right" vertical="center" indent="1"/>
      <protection/>
    </xf>
    <xf numFmtId="176" fontId="63" fillId="47" borderId="107" xfId="109" applyNumberFormat="1" applyFont="1" applyFill="1" applyBorder="1" applyAlignment="1">
      <alignment horizontal="right" vertical="center" indent="1"/>
      <protection/>
    </xf>
    <xf numFmtId="0" fontId="44" fillId="0" borderId="0" xfId="109" applyFont="1" applyFill="1" applyBorder="1" applyAlignment="1">
      <alignment vertical="center"/>
      <protection/>
    </xf>
    <xf numFmtId="0" fontId="45" fillId="0" borderId="46" xfId="109" applyFont="1" applyFill="1" applyBorder="1" applyAlignment="1">
      <alignment/>
      <protection/>
    </xf>
    <xf numFmtId="0" fontId="44" fillId="0" borderId="0" xfId="109" applyFont="1" applyFill="1" applyBorder="1" applyAlignment="1">
      <alignment horizontal="left" vertical="center" wrapText="1"/>
      <protection/>
    </xf>
    <xf numFmtId="0" fontId="44" fillId="0" borderId="46" xfId="109" applyFont="1" applyFill="1" applyBorder="1">
      <alignment/>
      <protection/>
    </xf>
    <xf numFmtId="0" fontId="45" fillId="48" borderId="20" xfId="109" applyFont="1" applyFill="1" applyBorder="1" applyAlignment="1">
      <alignment horizontal="right" vertical="center" wrapText="1"/>
      <protection/>
    </xf>
    <xf numFmtId="0" fontId="45" fillId="48" borderId="18" xfId="109" applyFont="1" applyFill="1" applyBorder="1" applyAlignment="1">
      <alignment horizontal="right" vertical="center" wrapText="1"/>
      <protection/>
    </xf>
    <xf numFmtId="0" fontId="45" fillId="48" borderId="0" xfId="109" applyFont="1" applyFill="1" applyBorder="1" applyAlignment="1">
      <alignment horizontal="right" vertical="center" wrapText="1"/>
      <protection/>
    </xf>
    <xf numFmtId="0" fontId="65" fillId="0" borderId="18" xfId="109" applyFont="1" applyFill="1" applyBorder="1" applyAlignment="1">
      <alignment vertical="center" wrapText="1"/>
      <protection/>
    </xf>
    <xf numFmtId="0" fontId="65" fillId="0" borderId="18" xfId="109" applyFont="1" applyFill="1" applyBorder="1" applyAlignment="1">
      <alignment horizontal="left" vertical="center"/>
      <protection/>
    </xf>
    <xf numFmtId="176" fontId="45" fillId="0" borderId="18" xfId="0" applyNumberFormat="1" applyFont="1" applyFill="1" applyBorder="1" applyAlignment="1">
      <alignment horizontal="right" vertical="center" indent="1"/>
    </xf>
    <xf numFmtId="176" fontId="44" fillId="0" borderId="18" xfId="0" applyNumberFormat="1" applyFont="1" applyFill="1" applyBorder="1" applyAlignment="1">
      <alignment horizontal="right" vertical="center" indent="1"/>
    </xf>
    <xf numFmtId="176" fontId="44" fillId="0" borderId="108" xfId="0" applyNumberFormat="1" applyFont="1" applyFill="1" applyBorder="1" applyAlignment="1">
      <alignment horizontal="right" vertical="center" indent="1"/>
    </xf>
    <xf numFmtId="176" fontId="44" fillId="0" borderId="25" xfId="0" applyNumberFormat="1" applyFont="1" applyFill="1" applyBorder="1" applyAlignment="1">
      <alignment horizontal="right" vertical="center" indent="1"/>
    </xf>
    <xf numFmtId="176" fontId="45" fillId="0" borderId="25" xfId="0" applyNumberFormat="1" applyFont="1" applyFill="1" applyBorder="1" applyAlignment="1">
      <alignment horizontal="right" vertical="center" indent="1"/>
    </xf>
    <xf numFmtId="176" fontId="45" fillId="0" borderId="109" xfId="0" applyNumberFormat="1" applyFont="1" applyFill="1" applyBorder="1" applyAlignment="1">
      <alignment horizontal="right" vertical="center" indent="1"/>
    </xf>
    <xf numFmtId="176" fontId="62" fillId="47" borderId="110" xfId="0" applyNumberFormat="1" applyFont="1" applyFill="1" applyBorder="1" applyAlignment="1">
      <alignment horizontal="right" vertical="center" indent="1"/>
    </xf>
    <xf numFmtId="176" fontId="44" fillId="0" borderId="109" xfId="0" applyNumberFormat="1" applyFont="1" applyFill="1" applyBorder="1" applyAlignment="1">
      <alignment horizontal="right" vertical="center" indent="1"/>
    </xf>
    <xf numFmtId="176" fontId="63" fillId="47" borderId="111" xfId="0" applyNumberFormat="1" applyFont="1" applyFill="1" applyBorder="1" applyAlignment="1">
      <alignment horizontal="right" vertical="center" indent="1"/>
    </xf>
    <xf numFmtId="176" fontId="63" fillId="47" borderId="112" xfId="0" applyNumberFormat="1" applyFont="1" applyFill="1" applyBorder="1" applyAlignment="1">
      <alignment horizontal="right" vertical="center" indent="1"/>
    </xf>
    <xf numFmtId="176" fontId="63" fillId="47" borderId="113" xfId="0" applyNumberFormat="1" applyFont="1" applyFill="1" applyBorder="1" applyAlignment="1">
      <alignment horizontal="right" vertical="center" indent="1"/>
    </xf>
    <xf numFmtId="176" fontId="63" fillId="47" borderId="114" xfId="0" applyNumberFormat="1" applyFont="1" applyFill="1" applyBorder="1" applyAlignment="1">
      <alignment horizontal="right" vertical="center" indent="1"/>
    </xf>
    <xf numFmtId="176" fontId="62" fillId="47" borderId="112" xfId="0" applyNumberFormat="1" applyFont="1" applyFill="1" applyBorder="1" applyAlignment="1">
      <alignment horizontal="right" vertical="center" indent="1"/>
    </xf>
    <xf numFmtId="176" fontId="44" fillId="0" borderId="115" xfId="0" applyNumberFormat="1" applyFont="1" applyFill="1" applyBorder="1" applyAlignment="1">
      <alignment horizontal="right" vertical="center" indent="1"/>
    </xf>
    <xf numFmtId="176" fontId="44" fillId="0" borderId="116" xfId="0" applyNumberFormat="1" applyFont="1" applyFill="1" applyBorder="1" applyAlignment="1">
      <alignment horizontal="right" vertical="center" indent="1"/>
    </xf>
    <xf numFmtId="176" fontId="62" fillId="47" borderId="111" xfId="0" applyNumberFormat="1" applyFont="1" applyFill="1" applyBorder="1" applyAlignment="1">
      <alignment horizontal="right" vertical="center" indent="1"/>
    </xf>
    <xf numFmtId="176" fontId="63" fillId="47" borderId="117" xfId="0" applyNumberFormat="1" applyFont="1" applyFill="1" applyBorder="1" applyAlignment="1">
      <alignment horizontal="right" vertical="center" indent="1"/>
    </xf>
    <xf numFmtId="176" fontId="45" fillId="0" borderId="116" xfId="0" applyNumberFormat="1" applyFont="1" applyFill="1" applyBorder="1" applyAlignment="1">
      <alignment horizontal="right" vertical="center" indent="1"/>
    </xf>
    <xf numFmtId="176" fontId="62" fillId="47" borderId="114" xfId="0" applyNumberFormat="1" applyFont="1" applyFill="1" applyBorder="1" applyAlignment="1">
      <alignment horizontal="right" vertical="center" indent="1"/>
    </xf>
    <xf numFmtId="176" fontId="62" fillId="47" borderId="118" xfId="0" applyNumberFormat="1" applyFont="1" applyFill="1" applyBorder="1" applyAlignment="1">
      <alignment horizontal="right" vertical="center" indent="1"/>
    </xf>
    <xf numFmtId="0" fontId="64" fillId="48" borderId="0" xfId="109" applyFont="1" applyFill="1">
      <alignment/>
      <protection/>
    </xf>
    <xf numFmtId="0" fontId="0" fillId="48" borderId="0" xfId="109" applyFill="1">
      <alignment/>
      <protection/>
    </xf>
    <xf numFmtId="176" fontId="64" fillId="48" borderId="0" xfId="109" applyNumberFormat="1" applyFont="1" applyFill="1">
      <alignment/>
      <protection/>
    </xf>
    <xf numFmtId="176" fontId="62" fillId="47" borderId="21" xfId="109" applyNumberFormat="1" applyFont="1" applyFill="1" applyBorder="1" applyAlignment="1">
      <alignment horizontal="right" vertical="center" indent="1"/>
      <protection/>
    </xf>
    <xf numFmtId="176" fontId="62" fillId="47" borderId="17" xfId="109" applyNumberFormat="1" applyFont="1" applyFill="1" applyBorder="1" applyAlignment="1">
      <alignment horizontal="right" vertical="center" indent="1"/>
      <protection/>
    </xf>
    <xf numFmtId="176" fontId="63" fillId="47" borderId="17" xfId="109" applyNumberFormat="1" applyFont="1" applyFill="1" applyBorder="1" applyAlignment="1">
      <alignment horizontal="right" vertical="center" indent="1"/>
      <protection/>
    </xf>
    <xf numFmtId="176" fontId="63" fillId="47" borderId="22" xfId="109" applyNumberFormat="1" applyFont="1" applyFill="1" applyBorder="1" applyAlignment="1">
      <alignment horizontal="right" vertical="center" indent="1"/>
      <protection/>
    </xf>
    <xf numFmtId="176" fontId="63" fillId="47" borderId="119" xfId="109" applyNumberFormat="1" applyFont="1" applyFill="1" applyBorder="1" applyAlignment="1">
      <alignment horizontal="right" vertical="center" indent="1"/>
      <protection/>
    </xf>
    <xf numFmtId="176" fontId="63" fillId="47" borderId="21" xfId="109" applyNumberFormat="1" applyFont="1" applyFill="1" applyBorder="1" applyAlignment="1">
      <alignment horizontal="right" vertical="center" indent="1"/>
      <protection/>
    </xf>
    <xf numFmtId="0" fontId="64" fillId="0" borderId="0" xfId="109" applyFont="1">
      <alignment/>
      <protection/>
    </xf>
    <xf numFmtId="176" fontId="44" fillId="0" borderId="120" xfId="0" applyNumberFormat="1" applyFont="1" applyFill="1" applyBorder="1" applyAlignment="1">
      <alignment horizontal="right" vertical="center" indent="1"/>
    </xf>
    <xf numFmtId="176" fontId="45" fillId="0" borderId="120" xfId="0" applyNumberFormat="1" applyFont="1" applyFill="1" applyBorder="1" applyAlignment="1">
      <alignment horizontal="right" vertical="center" indent="1"/>
    </xf>
    <xf numFmtId="176" fontId="45" fillId="0" borderId="121" xfId="0" applyNumberFormat="1" applyFont="1" applyFill="1" applyBorder="1" applyAlignment="1">
      <alignment horizontal="right" vertical="center" indent="1"/>
    </xf>
    <xf numFmtId="3" fontId="44" fillId="0" borderId="122" xfId="0" applyNumberFormat="1" applyFont="1" applyFill="1" applyBorder="1" applyAlignment="1">
      <alignment horizontal="right" vertical="center" indent="1"/>
    </xf>
    <xf numFmtId="4" fontId="44" fillId="0" borderId="122" xfId="0" applyNumberFormat="1" applyFont="1" applyFill="1" applyBorder="1" applyAlignment="1">
      <alignment horizontal="right" vertical="center" indent="1"/>
    </xf>
    <xf numFmtId="0" fontId="44" fillId="0" borderId="22" xfId="0" applyFont="1" applyFill="1" applyBorder="1" applyAlignment="1">
      <alignment/>
    </xf>
    <xf numFmtId="0" fontId="65" fillId="0" borderId="22" xfId="0" applyFont="1" applyFill="1" applyBorder="1" applyAlignment="1">
      <alignment horizontal="center" vertical="center" wrapText="1"/>
    </xf>
    <xf numFmtId="176" fontId="45" fillId="0" borderId="122" xfId="0" applyNumberFormat="1" applyFont="1" applyFill="1" applyBorder="1" applyAlignment="1">
      <alignment horizontal="right" vertical="center" indent="1"/>
    </xf>
    <xf numFmtId="176" fontId="44" fillId="0" borderId="122" xfId="0" applyNumberFormat="1" applyFont="1" applyFill="1" applyBorder="1" applyAlignment="1">
      <alignment horizontal="right" vertical="center" indent="1"/>
    </xf>
    <xf numFmtId="164" fontId="63" fillId="48" borderId="22" xfId="0" applyNumberFormat="1" applyFont="1" applyFill="1" applyBorder="1" applyAlignment="1">
      <alignment horizontal="right" vertical="center" indent="1"/>
    </xf>
    <xf numFmtId="2" fontId="45" fillId="0" borderId="122" xfId="0" applyNumberFormat="1" applyFont="1" applyFill="1" applyBorder="1" applyAlignment="1">
      <alignment horizontal="right" vertical="center" indent="1"/>
    </xf>
    <xf numFmtId="0" fontId="44" fillId="0" borderId="22" xfId="0" applyFont="1" applyFill="1" applyBorder="1" applyAlignment="1">
      <alignment/>
    </xf>
    <xf numFmtId="176" fontId="66" fillId="0" borderId="123" xfId="0" applyNumberFormat="1" applyFont="1" applyBorder="1" applyAlignment="1">
      <alignment horizontal="right" vertical="center" indent="1"/>
    </xf>
    <xf numFmtId="176" fontId="66" fillId="0" borderId="124" xfId="0" applyNumberFormat="1" applyFont="1" applyBorder="1" applyAlignment="1">
      <alignment horizontal="right" vertical="center" indent="1"/>
    </xf>
    <xf numFmtId="176" fontId="66" fillId="0" borderId="124" xfId="0" applyNumberFormat="1" applyFont="1" applyFill="1" applyBorder="1" applyAlignment="1">
      <alignment horizontal="right" vertical="center" indent="1"/>
    </xf>
    <xf numFmtId="176" fontId="66" fillId="0" borderId="22" xfId="0" applyNumberFormat="1" applyFont="1" applyBorder="1" applyAlignment="1">
      <alignment horizontal="right" vertical="center" indent="1"/>
    </xf>
    <xf numFmtId="176" fontId="72" fillId="0" borderId="124" xfId="0" applyNumberFormat="1" applyFont="1" applyBorder="1" applyAlignment="1">
      <alignment horizontal="right" vertical="center" indent="1"/>
    </xf>
    <xf numFmtId="4" fontId="44" fillId="0" borderId="0" xfId="0" applyNumberFormat="1" applyFont="1" applyFill="1" applyBorder="1" applyAlignment="1">
      <alignment horizontal="right" vertical="center" indent="1"/>
    </xf>
    <xf numFmtId="2" fontId="45" fillId="0" borderId="0" xfId="0" applyNumberFormat="1" applyFont="1" applyFill="1" applyBorder="1" applyAlignment="1">
      <alignment horizontal="right" vertical="center" indent="1"/>
    </xf>
    <xf numFmtId="164" fontId="44" fillId="0" borderId="125" xfId="0" applyNumberFormat="1" applyFont="1" applyFill="1" applyBorder="1" applyAlignment="1">
      <alignment horizontal="right"/>
    </xf>
    <xf numFmtId="0" fontId="45" fillId="0" borderId="125" xfId="0" applyFont="1" applyFill="1" applyBorder="1" applyAlignment="1">
      <alignment horizontal="center" wrapText="1"/>
    </xf>
    <xf numFmtId="176" fontId="66" fillId="0" borderId="126" xfId="0" applyNumberFormat="1" applyFont="1" applyBorder="1" applyAlignment="1">
      <alignment horizontal="right" vertical="center" indent="1"/>
    </xf>
    <xf numFmtId="3" fontId="44" fillId="0" borderId="127" xfId="0" applyNumberFormat="1" applyFont="1" applyFill="1" applyBorder="1" applyAlignment="1">
      <alignment horizontal="right" vertical="center" indent="1"/>
    </xf>
    <xf numFmtId="3" fontId="44" fillId="0" borderId="101" xfId="0" applyNumberFormat="1" applyFont="1" applyFill="1" applyBorder="1" applyAlignment="1">
      <alignment horizontal="right" vertical="center" indent="1"/>
    </xf>
    <xf numFmtId="176" fontId="63" fillId="47" borderId="128" xfId="0" applyNumberFormat="1" applyFont="1" applyFill="1" applyBorder="1" applyAlignment="1">
      <alignment horizontal="right" vertical="center" indent="1"/>
    </xf>
    <xf numFmtId="4" fontId="44" fillId="0" borderId="129" xfId="0" applyNumberFormat="1" applyFont="1" applyFill="1" applyBorder="1" applyAlignment="1">
      <alignment horizontal="right" vertical="center" indent="1"/>
    </xf>
    <xf numFmtId="4" fontId="63" fillId="47" borderId="130" xfId="0" applyNumberFormat="1" applyFont="1" applyFill="1" applyBorder="1" applyAlignment="1">
      <alignment horizontal="right" vertical="center" indent="1"/>
    </xf>
    <xf numFmtId="4" fontId="63" fillId="47" borderId="131" xfId="0" applyNumberFormat="1" applyFont="1" applyFill="1" applyBorder="1" applyAlignment="1">
      <alignment horizontal="right" vertical="center" indent="1"/>
    </xf>
    <xf numFmtId="0" fontId="44" fillId="0" borderId="132" xfId="0" applyFont="1" applyFill="1" applyBorder="1" applyAlignment="1">
      <alignment/>
    </xf>
    <xf numFmtId="176" fontId="45" fillId="0" borderId="129" xfId="0" applyNumberFormat="1" applyFont="1" applyFill="1" applyBorder="1" applyAlignment="1">
      <alignment horizontal="right" vertical="center" indent="1"/>
    </xf>
    <xf numFmtId="176" fontId="63" fillId="47" borderId="131" xfId="0" applyNumberFormat="1" applyFont="1" applyFill="1" applyBorder="1" applyAlignment="1">
      <alignment horizontal="right" vertical="center" indent="1"/>
    </xf>
    <xf numFmtId="176" fontId="44" fillId="0" borderId="129" xfId="0" applyNumberFormat="1" applyFont="1" applyFill="1" applyBorder="1" applyAlignment="1">
      <alignment horizontal="right" vertical="center" indent="1"/>
    </xf>
    <xf numFmtId="176" fontId="63" fillId="47" borderId="130" xfId="0" applyNumberFormat="1" applyFont="1" applyFill="1" applyBorder="1" applyAlignment="1">
      <alignment horizontal="right" vertical="center" indent="1"/>
    </xf>
    <xf numFmtId="176" fontId="63" fillId="47" borderId="133" xfId="0" applyNumberFormat="1" applyFont="1" applyFill="1" applyBorder="1" applyAlignment="1">
      <alignment horizontal="right" vertical="center" indent="1"/>
    </xf>
    <xf numFmtId="176" fontId="62" fillId="47" borderId="131" xfId="0" applyNumberFormat="1" applyFont="1" applyFill="1" applyBorder="1" applyAlignment="1">
      <alignment horizontal="right" vertical="center" indent="1"/>
    </xf>
    <xf numFmtId="176" fontId="63" fillId="47" borderId="134" xfId="0" applyNumberFormat="1" applyFont="1" applyFill="1" applyBorder="1" applyAlignment="1">
      <alignment horizontal="right" vertical="center" indent="1"/>
    </xf>
    <xf numFmtId="176" fontId="62" fillId="47" borderId="135" xfId="0" applyNumberFormat="1" applyFont="1" applyFill="1" applyBorder="1" applyAlignment="1">
      <alignment horizontal="right" vertical="center" indent="1"/>
    </xf>
    <xf numFmtId="0" fontId="44" fillId="0" borderId="136" xfId="0" applyFont="1" applyFill="1" applyBorder="1" applyAlignment="1">
      <alignment/>
    </xf>
    <xf numFmtId="0" fontId="44" fillId="0" borderId="137" xfId="0" applyFont="1" applyFill="1" applyBorder="1" applyAlignment="1">
      <alignment/>
    </xf>
    <xf numFmtId="4" fontId="63" fillId="47" borderId="134" xfId="0" applyNumberFormat="1" applyFont="1" applyFill="1" applyBorder="1" applyAlignment="1">
      <alignment horizontal="right" vertical="center" indent="1"/>
    </xf>
    <xf numFmtId="2" fontId="45" fillId="0" borderId="129" xfId="0" applyNumberFormat="1" applyFont="1" applyFill="1" applyBorder="1" applyAlignment="1">
      <alignment horizontal="right" vertical="center" indent="1"/>
    </xf>
    <xf numFmtId="164" fontId="44" fillId="0" borderId="132" xfId="0" applyNumberFormat="1" applyFont="1" applyFill="1" applyBorder="1" applyAlignment="1">
      <alignment horizontal="right"/>
    </xf>
    <xf numFmtId="0" fontId="45" fillId="0" borderId="138" xfId="0" applyFont="1" applyFill="1" applyBorder="1" applyAlignment="1">
      <alignment horizontal="center" wrapText="1"/>
    </xf>
    <xf numFmtId="176" fontId="66" fillId="0" borderId="139" xfId="0" applyNumberFormat="1" applyFont="1" applyBorder="1" applyAlignment="1">
      <alignment horizontal="right" vertical="center" indent="1"/>
    </xf>
    <xf numFmtId="176" fontId="62" fillId="47" borderId="134" xfId="0" applyNumberFormat="1" applyFont="1" applyFill="1" applyBorder="1" applyAlignment="1">
      <alignment horizontal="right" vertical="center" indent="1"/>
    </xf>
    <xf numFmtId="176" fontId="66" fillId="0" borderId="140" xfId="0" applyNumberFormat="1" applyFont="1" applyBorder="1" applyAlignment="1">
      <alignment horizontal="right" vertical="center" indent="1"/>
    </xf>
    <xf numFmtId="176" fontId="62" fillId="47" borderId="141" xfId="0" applyNumberFormat="1" applyFont="1" applyFill="1" applyBorder="1" applyAlignment="1">
      <alignment horizontal="right" vertical="center" indent="1"/>
    </xf>
    <xf numFmtId="0" fontId="69" fillId="0" borderId="0" xfId="0" applyFont="1" applyBorder="1" applyAlignment="1">
      <alignment/>
    </xf>
    <xf numFmtId="3" fontId="44" fillId="0" borderId="0" xfId="0" applyNumberFormat="1" applyFont="1" applyFill="1" applyBorder="1" applyAlignment="1">
      <alignment horizontal="right" vertical="center" indent="1"/>
    </xf>
    <xf numFmtId="9" fontId="48" fillId="0" borderId="73" xfId="115" applyFont="1" applyFill="1" applyBorder="1" applyAlignment="1">
      <alignment horizontal="right"/>
    </xf>
    <xf numFmtId="9" fontId="48" fillId="0" borderId="59" xfId="115" applyFont="1" applyFill="1" applyBorder="1" applyAlignment="1">
      <alignment horizontal="right"/>
    </xf>
    <xf numFmtId="9" fontId="48" fillId="0" borderId="63" xfId="115" applyFont="1" applyFill="1" applyBorder="1" applyAlignment="1">
      <alignment horizontal="right"/>
    </xf>
    <xf numFmtId="185" fontId="47" fillId="0" borderId="14" xfId="0" applyNumberFormat="1" applyFont="1" applyFill="1" applyBorder="1" applyAlignment="1">
      <alignment horizontal="right"/>
    </xf>
    <xf numFmtId="185" fontId="47" fillId="49" borderId="82" xfId="0" applyNumberFormat="1" applyFont="1" applyFill="1" applyBorder="1" applyAlignment="1">
      <alignment horizontal="right" vertical="center"/>
    </xf>
    <xf numFmtId="185" fontId="47" fillId="49" borderId="69" xfId="0" applyNumberFormat="1" applyFont="1" applyFill="1" applyBorder="1" applyAlignment="1">
      <alignment horizontal="right" vertical="center"/>
    </xf>
    <xf numFmtId="185" fontId="47" fillId="0" borderId="142" xfId="0" applyNumberFormat="1" applyFont="1" applyFill="1" applyBorder="1" applyAlignment="1">
      <alignment horizontal="right"/>
    </xf>
    <xf numFmtId="185" fontId="47" fillId="0" borderId="143" xfId="0" applyNumberFormat="1" applyFont="1" applyFill="1" applyBorder="1" applyAlignment="1">
      <alignment horizontal="right"/>
    </xf>
    <xf numFmtId="0" fontId="48" fillId="50" borderId="144" xfId="0" applyFont="1" applyFill="1" applyBorder="1" applyAlignment="1">
      <alignment horizontal="right" vertical="center" wrapText="1"/>
    </xf>
    <xf numFmtId="0" fontId="48" fillId="0" borderId="73" xfId="0" applyFont="1" applyFill="1" applyBorder="1" applyAlignment="1">
      <alignment horizontal="right" vertical="center"/>
    </xf>
    <xf numFmtId="9" fontId="48" fillId="0" borderId="69" xfId="115" applyFont="1" applyFill="1" applyBorder="1" applyAlignment="1">
      <alignment horizontal="right"/>
    </xf>
    <xf numFmtId="185" fontId="47" fillId="0" borderId="145" xfId="0" applyNumberFormat="1" applyFont="1" applyFill="1" applyBorder="1" applyAlignment="1">
      <alignment horizontal="right"/>
    </xf>
    <xf numFmtId="9" fontId="48" fillId="0" borderId="59" xfId="115" applyFont="1" applyFill="1" applyBorder="1" applyAlignment="1">
      <alignment horizontal="right" vertical="center"/>
    </xf>
    <xf numFmtId="9" fontId="48" fillId="0" borderId="69" xfId="115" applyFont="1" applyFill="1" applyBorder="1" applyAlignment="1">
      <alignment horizontal="right" vertical="center"/>
    </xf>
    <xf numFmtId="9" fontId="48" fillId="0" borderId="73" xfId="115" applyFont="1" applyFill="1" applyBorder="1" applyAlignment="1">
      <alignment horizontal="right" vertical="center"/>
    </xf>
    <xf numFmtId="9" fontId="48" fillId="0" borderId="63" xfId="115" applyFont="1" applyFill="1" applyBorder="1" applyAlignment="1">
      <alignment horizontal="right" vertical="center"/>
    </xf>
    <xf numFmtId="9" fontId="48" fillId="0" borderId="82" xfId="115" applyFont="1" applyFill="1" applyBorder="1" applyAlignment="1">
      <alignment horizontal="right" vertical="center"/>
    </xf>
    <xf numFmtId="185" fontId="47" fillId="0" borderId="60" xfId="0" applyNumberFormat="1" applyFont="1" applyFill="1" applyBorder="1" applyAlignment="1">
      <alignment horizontal="right"/>
    </xf>
    <xf numFmtId="185" fontId="47" fillId="49" borderId="18" xfId="0" applyNumberFormat="1" applyFont="1" applyFill="1" applyBorder="1" applyAlignment="1">
      <alignment horizontal="right"/>
    </xf>
    <xf numFmtId="9" fontId="47" fillId="49" borderId="59" xfId="115" applyFont="1" applyFill="1" applyBorder="1" applyAlignment="1">
      <alignment horizontal="right" vertical="center"/>
    </xf>
    <xf numFmtId="0" fontId="48" fillId="0" borderId="83" xfId="0" applyFont="1" applyFill="1" applyBorder="1" applyAlignment="1">
      <alignment horizontal="right" vertical="center"/>
    </xf>
    <xf numFmtId="0" fontId="48" fillId="0" borderId="84" xfId="0" applyFont="1" applyFill="1" applyBorder="1" applyAlignment="1">
      <alignment horizontal="right" vertical="center"/>
    </xf>
    <xf numFmtId="0" fontId="47" fillId="0" borderId="146" xfId="0" applyFont="1" applyFill="1" applyBorder="1" applyAlignment="1">
      <alignment horizontal="right" vertical="center"/>
    </xf>
    <xf numFmtId="0" fontId="48" fillId="50" borderId="147" xfId="0" applyFont="1" applyFill="1" applyBorder="1" applyAlignment="1">
      <alignment horizontal="right" vertical="center" wrapText="1"/>
    </xf>
    <xf numFmtId="0" fontId="47" fillId="50" borderId="148" xfId="0" applyFont="1" applyFill="1" applyBorder="1" applyAlignment="1">
      <alignment horizontal="right" vertical="center" wrapText="1"/>
    </xf>
    <xf numFmtId="0" fontId="64" fillId="48" borderId="19" xfId="0" applyFont="1" applyFill="1" applyBorder="1" applyAlignment="1">
      <alignment/>
    </xf>
    <xf numFmtId="0" fontId="0" fillId="48" borderId="19" xfId="0" applyFill="1" applyBorder="1" applyAlignment="1">
      <alignment/>
    </xf>
    <xf numFmtId="176" fontId="45" fillId="48" borderId="62" xfId="109" applyNumberFormat="1" applyFont="1" applyFill="1" applyBorder="1" applyAlignment="1">
      <alignment horizontal="right" vertical="center" indent="1"/>
      <protection/>
    </xf>
    <xf numFmtId="0" fontId="0" fillId="48" borderId="149" xfId="109" applyFill="1" applyBorder="1">
      <alignment/>
      <protection/>
    </xf>
    <xf numFmtId="3" fontId="63" fillId="0" borderId="150" xfId="109" applyNumberFormat="1" applyFont="1" applyFill="1" applyBorder="1" applyAlignment="1">
      <alignment horizontal="right" vertical="center" indent="1"/>
      <protection/>
    </xf>
    <xf numFmtId="4" fontId="63" fillId="0" borderId="22" xfId="109" applyNumberFormat="1" applyFont="1" applyFill="1" applyBorder="1" applyAlignment="1">
      <alignment horizontal="right" vertical="center" indent="1"/>
      <protection/>
    </xf>
    <xf numFmtId="0" fontId="45" fillId="0" borderId="22" xfId="109" applyFont="1" applyFill="1" applyBorder="1" applyAlignment="1">
      <alignment horizontal="center"/>
      <protection/>
    </xf>
    <xf numFmtId="0" fontId="65" fillId="0" borderId="22" xfId="109" applyFont="1" applyFill="1" applyBorder="1" applyAlignment="1">
      <alignment horizontal="right"/>
      <protection/>
    </xf>
    <xf numFmtId="0" fontId="45" fillId="0" borderId="22" xfId="109" applyFont="1" applyFill="1" applyBorder="1" applyAlignment="1">
      <alignment/>
      <protection/>
    </xf>
    <xf numFmtId="0" fontId="44" fillId="0" borderId="22" xfId="109" applyFont="1" applyFill="1" applyBorder="1" applyAlignment="1">
      <alignment/>
      <protection/>
    </xf>
    <xf numFmtId="176" fontId="63" fillId="0" borderId="22" xfId="109" applyNumberFormat="1" applyFont="1" applyFill="1" applyBorder="1" applyAlignment="1">
      <alignment horizontal="right" vertical="center" indent="1"/>
      <protection/>
    </xf>
    <xf numFmtId="0" fontId="44" fillId="48" borderId="22" xfId="109" applyFont="1" applyFill="1" applyBorder="1" applyAlignment="1">
      <alignment/>
      <protection/>
    </xf>
    <xf numFmtId="4" fontId="44" fillId="0" borderId="22" xfId="109" applyNumberFormat="1" applyFont="1" applyFill="1" applyBorder="1" applyAlignment="1">
      <alignment horizontal="right"/>
      <protection/>
    </xf>
    <xf numFmtId="0" fontId="44" fillId="0" borderId="124" xfId="109" applyFont="1" applyFill="1" applyBorder="1" applyAlignment="1">
      <alignment vertical="center" wrapText="1"/>
      <protection/>
    </xf>
    <xf numFmtId="0" fontId="45" fillId="0" borderId="123" xfId="109" applyFont="1" applyFill="1" applyBorder="1" applyAlignment="1">
      <alignment vertical="center" wrapText="1"/>
      <protection/>
    </xf>
    <xf numFmtId="9" fontId="45" fillId="0" borderId="123" xfId="115" applyFont="1" applyFill="1" applyBorder="1" applyAlignment="1">
      <alignment vertical="center" wrapText="1"/>
    </xf>
    <xf numFmtId="9" fontId="44" fillId="0" borderId="22" xfId="115" applyFont="1" applyFill="1" applyBorder="1" applyAlignment="1">
      <alignment/>
    </xf>
    <xf numFmtId="2" fontId="45" fillId="0" borderId="22" xfId="109" applyNumberFormat="1" applyFont="1" applyFill="1" applyBorder="1" applyAlignment="1">
      <alignment vertical="center" wrapText="1"/>
      <protection/>
    </xf>
    <xf numFmtId="2" fontId="44" fillId="0" borderId="22" xfId="109" applyNumberFormat="1" applyFont="1" applyFill="1" applyBorder="1" applyAlignment="1">
      <alignment vertical="center" wrapText="1"/>
      <protection/>
    </xf>
    <xf numFmtId="0" fontId="45" fillId="0" borderId="22" xfId="109" applyFont="1" applyFill="1" applyBorder="1" applyAlignment="1">
      <alignment horizontal="right"/>
      <protection/>
    </xf>
    <xf numFmtId="176" fontId="62" fillId="0" borderId="22" xfId="109" applyNumberFormat="1" applyFont="1" applyFill="1" applyBorder="1" applyAlignment="1">
      <alignment horizontal="right" vertical="center" indent="1"/>
      <protection/>
    </xf>
    <xf numFmtId="176" fontId="62" fillId="0" borderId="151" xfId="109" applyNumberFormat="1" applyFont="1" applyFill="1" applyBorder="1" applyAlignment="1">
      <alignment horizontal="right" vertical="center" indent="1"/>
      <protection/>
    </xf>
    <xf numFmtId="0" fontId="45" fillId="0" borderId="124" xfId="109" applyFont="1" applyFill="1" applyBorder="1" applyAlignment="1">
      <alignment vertical="center" wrapText="1"/>
      <protection/>
    </xf>
    <xf numFmtId="176" fontId="44" fillId="0" borderId="0" xfId="109" applyNumberFormat="1" applyFont="1" applyFill="1" applyAlignment="1">
      <alignment/>
      <protection/>
    </xf>
    <xf numFmtId="176" fontId="45" fillId="48" borderId="149" xfId="109" applyNumberFormat="1" applyFont="1" applyFill="1" applyBorder="1" applyAlignment="1">
      <alignment horizontal="right" vertical="center" indent="1"/>
      <protection/>
    </xf>
    <xf numFmtId="0" fontId="45" fillId="0" borderId="23" xfId="109" applyFont="1" applyFill="1" applyBorder="1" applyAlignment="1">
      <alignment vertical="center" wrapText="1"/>
      <protection/>
    </xf>
    <xf numFmtId="176" fontId="44" fillId="48" borderId="23" xfId="109" applyNumberFormat="1" applyFont="1" applyFill="1" applyBorder="1" applyAlignment="1">
      <alignment horizontal="right" vertical="center" indent="1"/>
      <protection/>
    </xf>
    <xf numFmtId="176" fontId="44" fillId="48" borderId="149" xfId="109" applyNumberFormat="1" applyFont="1" applyFill="1" applyBorder="1" applyAlignment="1">
      <alignment horizontal="right" vertical="center" indent="1"/>
      <protection/>
    </xf>
    <xf numFmtId="3" fontId="44" fillId="0" borderId="32" xfId="0" applyNumberFormat="1" applyFont="1" applyFill="1" applyBorder="1" applyAlignment="1">
      <alignment horizontal="right" vertical="center" indent="1"/>
    </xf>
    <xf numFmtId="0" fontId="44" fillId="0" borderId="152" xfId="0" applyFont="1" applyFill="1" applyBorder="1" applyAlignment="1">
      <alignment/>
    </xf>
    <xf numFmtId="0" fontId="65" fillId="0" borderId="153" xfId="0" applyFont="1" applyFill="1" applyBorder="1" applyAlignment="1">
      <alignment horizontal="center" vertical="center" wrapText="1"/>
    </xf>
    <xf numFmtId="0" fontId="44" fillId="0" borderId="154" xfId="0" applyFont="1" applyFill="1" applyBorder="1" applyAlignment="1">
      <alignment/>
    </xf>
    <xf numFmtId="176" fontId="72" fillId="0" borderId="32" xfId="0" applyNumberFormat="1" applyFont="1" applyBorder="1" applyAlignment="1">
      <alignment horizontal="right" vertical="center" indent="1"/>
    </xf>
    <xf numFmtId="176" fontId="66" fillId="0" borderId="53" xfId="0" applyNumberFormat="1" applyFont="1" applyBorder="1" applyAlignment="1">
      <alignment horizontal="right" vertical="center" indent="1"/>
    </xf>
    <xf numFmtId="176" fontId="45" fillId="0" borderId="23" xfId="0" applyNumberFormat="1" applyFont="1" applyFill="1" applyBorder="1" applyAlignment="1">
      <alignment horizontal="right" vertical="center" indent="1"/>
    </xf>
    <xf numFmtId="176" fontId="44" fillId="0" borderId="155" xfId="0" applyNumberFormat="1" applyFont="1" applyFill="1" applyBorder="1" applyAlignment="1">
      <alignment horizontal="right" vertical="center" indent="1"/>
    </xf>
    <xf numFmtId="176" fontId="44" fillId="0" borderId="22" xfId="0" applyNumberFormat="1" applyFont="1" applyFill="1" applyBorder="1" applyAlignment="1">
      <alignment horizontal="right" vertical="center" indent="1"/>
    </xf>
    <xf numFmtId="176" fontId="45" fillId="0" borderId="22" xfId="0" applyNumberFormat="1" applyFont="1" applyFill="1" applyBorder="1" applyAlignment="1">
      <alignment horizontal="right" vertical="center" indent="1"/>
    </xf>
    <xf numFmtId="0" fontId="48" fillId="50" borderId="93" xfId="0" applyFont="1" applyFill="1" applyBorder="1" applyAlignment="1">
      <alignment horizontal="right" vertical="center" wrapText="1"/>
    </xf>
    <xf numFmtId="185" fontId="47" fillId="0" borderId="73" xfId="0" applyNumberFormat="1" applyFont="1" applyFill="1" applyBorder="1" applyAlignment="1">
      <alignment horizontal="right"/>
    </xf>
    <xf numFmtId="185" fontId="47" fillId="0" borderId="63" xfId="0" applyNumberFormat="1" applyFont="1" applyFill="1" applyBorder="1" applyAlignment="1">
      <alignment horizontal="right"/>
    </xf>
    <xf numFmtId="185" fontId="47" fillId="0" borderId="69" xfId="0" applyNumberFormat="1" applyFont="1" applyFill="1" applyBorder="1" applyAlignment="1">
      <alignment horizontal="right"/>
    </xf>
    <xf numFmtId="0" fontId="47" fillId="0" borderId="73" xfId="0" applyFont="1" applyFill="1" applyBorder="1" applyAlignment="1">
      <alignment horizontal="right" vertical="center"/>
    </xf>
    <xf numFmtId="9" fontId="48" fillId="0" borderId="89" xfId="0" applyNumberFormat="1" applyFont="1" applyFill="1" applyBorder="1" applyAlignment="1">
      <alignment horizontal="right"/>
    </xf>
    <xf numFmtId="185" fontId="48" fillId="0" borderId="146" xfId="0" applyNumberFormat="1" applyFont="1" applyFill="1" applyBorder="1" applyAlignment="1">
      <alignment horizontal="right"/>
    </xf>
    <xf numFmtId="185" fontId="47" fillId="0" borderId="58" xfId="0" applyNumberFormat="1" applyFont="1" applyFill="1" applyBorder="1" applyAlignment="1">
      <alignment horizontal="right"/>
    </xf>
    <xf numFmtId="185" fontId="47" fillId="0" borderId="61" xfId="0" applyNumberFormat="1" applyFont="1" applyFill="1" applyBorder="1" applyAlignment="1">
      <alignment horizontal="right"/>
    </xf>
    <xf numFmtId="185" fontId="47" fillId="0" borderId="67" xfId="0" applyNumberFormat="1" applyFont="1" applyFill="1" applyBorder="1" applyAlignment="1">
      <alignment horizontal="right"/>
    </xf>
    <xf numFmtId="9" fontId="48" fillId="0" borderId="156" xfId="0" applyNumberFormat="1" applyFont="1" applyFill="1" applyBorder="1" applyAlignment="1">
      <alignment horizontal="right"/>
    </xf>
    <xf numFmtId="0" fontId="48" fillId="50" borderId="148" xfId="0" applyFont="1" applyFill="1" applyBorder="1" applyAlignment="1">
      <alignment horizontal="right" vertical="center" wrapText="1"/>
    </xf>
    <xf numFmtId="0" fontId="48" fillId="0" borderId="146" xfId="0" applyFont="1" applyFill="1" applyBorder="1" applyAlignment="1">
      <alignment horizontal="right" vertical="center"/>
    </xf>
    <xf numFmtId="185" fontId="48" fillId="0" borderId="142" xfId="0" applyNumberFormat="1" applyFont="1" applyFill="1" applyBorder="1" applyAlignment="1">
      <alignment horizontal="right"/>
    </xf>
    <xf numFmtId="185" fontId="48" fillId="0" borderId="145" xfId="0" applyNumberFormat="1" applyFont="1" applyFill="1" applyBorder="1" applyAlignment="1">
      <alignment horizontal="right"/>
    </xf>
    <xf numFmtId="185" fontId="48" fillId="0" borderId="143" xfId="0" applyNumberFormat="1" applyFont="1" applyFill="1" applyBorder="1" applyAlignment="1">
      <alignment horizontal="right"/>
    </xf>
    <xf numFmtId="9" fontId="48" fillId="0" borderId="91" xfId="0" applyNumberFormat="1" applyFont="1" applyFill="1" applyBorder="1" applyAlignment="1">
      <alignment horizontal="right"/>
    </xf>
    <xf numFmtId="9" fontId="48" fillId="0" borderId="92" xfId="0" applyNumberFormat="1" applyFont="1" applyFill="1" applyBorder="1" applyAlignment="1">
      <alignment horizontal="right"/>
    </xf>
    <xf numFmtId="9" fontId="47" fillId="49" borderId="61" xfId="0" applyNumberFormat="1" applyFont="1" applyFill="1" applyBorder="1" applyAlignment="1">
      <alignment horizontal="right"/>
    </xf>
    <xf numFmtId="0" fontId="47" fillId="49" borderId="146" xfId="0" applyFont="1" applyFill="1" applyBorder="1" applyAlignment="1">
      <alignment horizontal="right" vertical="center"/>
    </xf>
    <xf numFmtId="185" fontId="47" fillId="49" borderId="142" xfId="0" applyNumberFormat="1" applyFont="1" applyFill="1" applyBorder="1" applyAlignment="1">
      <alignment horizontal="right"/>
    </xf>
    <xf numFmtId="185" fontId="47" fillId="49" borderId="145" xfId="0" applyNumberFormat="1" applyFont="1" applyFill="1" applyBorder="1" applyAlignment="1">
      <alignment horizontal="right"/>
    </xf>
    <xf numFmtId="185" fontId="47" fillId="49" borderId="88" xfId="0" applyNumberFormat="1" applyFont="1" applyFill="1" applyBorder="1" applyAlignment="1">
      <alignment horizontal="right"/>
    </xf>
    <xf numFmtId="185" fontId="47" fillId="49" borderId="89" xfId="0" applyNumberFormat="1" applyFont="1" applyFill="1" applyBorder="1" applyAlignment="1">
      <alignment horizontal="right"/>
    </xf>
    <xf numFmtId="185" fontId="47" fillId="49" borderId="157" xfId="0" applyNumberFormat="1" applyFont="1" applyFill="1" applyBorder="1" applyAlignment="1">
      <alignment horizontal="right"/>
    </xf>
    <xf numFmtId="185" fontId="48" fillId="49" borderId="146" xfId="0" applyNumberFormat="1" applyFont="1" applyFill="1" applyBorder="1" applyAlignment="1">
      <alignment horizontal="right"/>
    </xf>
    <xf numFmtId="0" fontId="45" fillId="0" borderId="28" xfId="0" applyFont="1" applyFill="1" applyBorder="1" applyAlignment="1">
      <alignment vertical="center" wrapText="1"/>
    </xf>
    <xf numFmtId="0" fontId="65" fillId="0" borderId="28" xfId="0" applyFont="1" applyFill="1" applyBorder="1" applyAlignment="1">
      <alignment vertical="center" wrapText="1"/>
    </xf>
    <xf numFmtId="0" fontId="66" fillId="0" borderId="28" xfId="0" applyFont="1" applyBorder="1" applyAlignment="1">
      <alignment horizontal="left" vertical="center"/>
    </xf>
    <xf numFmtId="0" fontId="44" fillId="48" borderId="28" xfId="0" applyFont="1" applyFill="1" applyBorder="1" applyAlignment="1">
      <alignment horizontal="left" vertical="center" wrapText="1" indent="2"/>
    </xf>
    <xf numFmtId="0" fontId="66" fillId="48" borderId="28" xfId="109" applyFont="1" applyFill="1" applyBorder="1" applyAlignment="1">
      <alignment horizontal="left" vertical="center" wrapText="1" indent="2"/>
      <protection/>
    </xf>
    <xf numFmtId="0" fontId="44" fillId="0" borderId="28" xfId="0" applyFont="1" applyFill="1" applyBorder="1" applyAlignment="1">
      <alignment horizontal="left" vertical="center" wrapText="1" indent="2"/>
    </xf>
    <xf numFmtId="0" fontId="44" fillId="0" borderId="33" xfId="0" applyFont="1" applyFill="1" applyBorder="1" applyAlignment="1">
      <alignment vertical="center" wrapText="1"/>
    </xf>
    <xf numFmtId="0" fontId="71" fillId="0" borderId="30" xfId="0" applyFont="1" applyFill="1" applyBorder="1" applyAlignment="1">
      <alignment vertical="center" wrapText="1"/>
    </xf>
    <xf numFmtId="0" fontId="45" fillId="0" borderId="158" xfId="0" applyFont="1" applyFill="1" applyBorder="1" applyAlignment="1">
      <alignment vertical="center"/>
    </xf>
    <xf numFmtId="0" fontId="45" fillId="0" borderId="30" xfId="0" applyFont="1" applyFill="1" applyBorder="1" applyAlignment="1">
      <alignment vertical="center" wrapText="1"/>
    </xf>
    <xf numFmtId="0" fontId="65" fillId="0" borderId="28" xfId="0" applyFont="1" applyBorder="1" applyAlignment="1">
      <alignment vertical="center" wrapText="1"/>
    </xf>
    <xf numFmtId="0" fontId="66" fillId="48" borderId="18" xfId="109" applyFont="1" applyFill="1" applyBorder="1" applyAlignment="1">
      <alignment horizontal="left" vertical="center" indent="2"/>
      <protection/>
    </xf>
    <xf numFmtId="0" fontId="66" fillId="48" borderId="18" xfId="109" applyFont="1" applyFill="1" applyBorder="1" applyAlignment="1">
      <alignment horizontal="left" vertical="center" wrapText="1" indent="2"/>
      <protection/>
    </xf>
    <xf numFmtId="176" fontId="65" fillId="0" borderId="25" xfId="109" applyNumberFormat="1" applyFont="1" applyFill="1" applyBorder="1" applyAlignment="1">
      <alignment vertical="center" wrapText="1"/>
      <protection/>
    </xf>
    <xf numFmtId="0" fontId="44" fillId="0" borderId="18" xfId="0" applyFont="1" applyFill="1" applyBorder="1" applyAlignment="1">
      <alignment horizontal="left" vertical="center" indent="2"/>
    </xf>
    <xf numFmtId="0" fontId="44" fillId="0" borderId="18" xfId="0" applyFont="1" applyFill="1" applyBorder="1" applyAlignment="1">
      <alignment vertical="center" wrapText="1"/>
    </xf>
    <xf numFmtId="0" fontId="44" fillId="48" borderId="18" xfId="0" applyFont="1" applyFill="1" applyBorder="1" applyAlignment="1">
      <alignment horizontal="left" vertical="center" indent="2"/>
    </xf>
    <xf numFmtId="0" fontId="44" fillId="48" borderId="18" xfId="0" applyFont="1" applyFill="1" applyBorder="1" applyAlignment="1">
      <alignment vertical="center" wrapText="1"/>
    </xf>
    <xf numFmtId="0" fontId="44" fillId="48" borderId="32" xfId="0" applyFont="1" applyFill="1" applyBorder="1" applyAlignment="1">
      <alignment horizontal="left" vertical="center" wrapText="1" indent="2"/>
    </xf>
    <xf numFmtId="0" fontId="44" fillId="0" borderId="0" xfId="0" applyFont="1" applyFill="1" applyAlignment="1">
      <alignment wrapText="1"/>
    </xf>
    <xf numFmtId="0" fontId="44" fillId="48" borderId="18" xfId="109" applyFont="1" applyFill="1" applyBorder="1" applyAlignment="1">
      <alignment horizontal="left" vertical="center" wrapText="1" indent="2"/>
      <protection/>
    </xf>
    <xf numFmtId="0" fontId="48" fillId="49" borderId="20" xfId="0" applyFont="1" applyFill="1" applyBorder="1" applyAlignment="1">
      <alignment vertical="center"/>
    </xf>
    <xf numFmtId="0" fontId="47" fillId="48" borderId="20" xfId="0" applyFont="1" applyFill="1" applyBorder="1" applyAlignment="1">
      <alignment vertical="center"/>
    </xf>
    <xf numFmtId="0" fontId="48" fillId="50" borderId="74" xfId="0" applyFont="1" applyFill="1" applyBorder="1" applyAlignment="1">
      <alignment horizontal="right" vertical="center" wrapText="1"/>
    </xf>
    <xf numFmtId="0" fontId="48" fillId="50" borderId="75" xfId="0" applyFont="1" applyFill="1" applyBorder="1" applyAlignment="1">
      <alignment horizontal="right" vertical="center" wrapText="1"/>
    </xf>
    <xf numFmtId="0" fontId="48" fillId="50" borderId="159" xfId="0" applyFont="1" applyFill="1" applyBorder="1" applyAlignment="1">
      <alignment horizontal="right" vertical="center" wrapText="1"/>
    </xf>
    <xf numFmtId="176" fontId="44" fillId="48" borderId="129" xfId="0" applyNumberFormat="1" applyFont="1" applyFill="1" applyBorder="1" applyAlignment="1">
      <alignment horizontal="right" vertical="center" indent="1"/>
    </xf>
    <xf numFmtId="176" fontId="44" fillId="48" borderId="28" xfId="0" applyNumberFormat="1" applyFont="1" applyFill="1" applyBorder="1" applyAlignment="1">
      <alignment horizontal="right" vertical="center" indent="1"/>
    </xf>
    <xf numFmtId="0" fontId="44" fillId="0" borderId="18" xfId="0" applyFont="1" applyFill="1" applyBorder="1" applyAlignment="1">
      <alignment vertical="center" wrapText="1"/>
    </xf>
    <xf numFmtId="0" fontId="65" fillId="0" borderId="18" xfId="0" applyFont="1" applyFill="1" applyBorder="1" applyAlignment="1">
      <alignment vertical="center" wrapText="1"/>
    </xf>
    <xf numFmtId="0" fontId="44" fillId="0" borderId="18" xfId="0" applyFont="1" applyFill="1" applyBorder="1" applyAlignment="1">
      <alignment vertical="center"/>
    </xf>
    <xf numFmtId="0" fontId="65" fillId="0" borderId="0" xfId="109" applyFont="1" applyFill="1" applyBorder="1" applyAlignment="1">
      <alignment vertical="center" wrapText="1"/>
      <protection/>
    </xf>
    <xf numFmtId="0" fontId="44" fillId="0" borderId="18" xfId="0" applyFont="1" applyFill="1" applyBorder="1" applyAlignment="1">
      <alignment horizontal="left" vertical="center" wrapText="1"/>
    </xf>
  </cellXfs>
  <cellStyles count="1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Calculation" xfId="82"/>
    <cellStyle name="Check Cell" xfId="83"/>
    <cellStyle name="Dane wejściowe" xfId="84"/>
    <cellStyle name="Dane wyjściowe" xfId="85"/>
    <cellStyle name="Dobry" xfId="86"/>
    <cellStyle name="Comma" xfId="87"/>
    <cellStyle name="Comma [0]" xfId="88"/>
    <cellStyle name="Emphasis 1" xfId="89"/>
    <cellStyle name="Emphasis 2" xfId="90"/>
    <cellStyle name="Emphasis 3" xfId="91"/>
    <cellStyle name="Explanatory Text" xfId="92"/>
    <cellStyle name="Good" xfId="93"/>
    <cellStyle name="Heading 1" xfId="94"/>
    <cellStyle name="Heading 2" xfId="95"/>
    <cellStyle name="Heading 3" xfId="96"/>
    <cellStyle name="Heading 4" xfId="97"/>
    <cellStyle name="Hyperlink" xfId="98"/>
    <cellStyle name="Input" xfId="99"/>
    <cellStyle name="Komórka połączona" xfId="100"/>
    <cellStyle name="Komórka zaznaczona" xfId="101"/>
    <cellStyle name="Linked Cell" xfId="102"/>
    <cellStyle name="Nagłówek 1" xfId="103"/>
    <cellStyle name="Nagłówek 2" xfId="104"/>
    <cellStyle name="Nagłówek 3" xfId="105"/>
    <cellStyle name="Nagłówek 4" xfId="106"/>
    <cellStyle name="Neutral" xfId="107"/>
    <cellStyle name="Neutralny" xfId="108"/>
    <cellStyle name="Normalny 2" xfId="109"/>
    <cellStyle name="Note" xfId="110"/>
    <cellStyle name="Obliczenia" xfId="111"/>
    <cellStyle name="Followed Hyperlink" xfId="112"/>
    <cellStyle name="Output" xfId="113"/>
    <cellStyle name="Percent" xfId="114"/>
    <cellStyle name="Procentowy 2" xfId="115"/>
    <cellStyle name="SAPBEXaggData" xfId="116"/>
    <cellStyle name="SAPBEXaggDataEmph" xfId="117"/>
    <cellStyle name="SAPBEXaggItem" xfId="118"/>
    <cellStyle name="SAPBEXaggItemX" xfId="119"/>
    <cellStyle name="SAPBEXchaText" xfId="120"/>
    <cellStyle name="SAPBEXexcBad7" xfId="121"/>
    <cellStyle name="SAPBEXexcBad8" xfId="122"/>
    <cellStyle name="SAPBEXexcBad9" xfId="123"/>
    <cellStyle name="SAPBEXexcCritical4" xfId="124"/>
    <cellStyle name="SAPBEXexcCritical5" xfId="125"/>
    <cellStyle name="SAPBEXexcCritical6" xfId="126"/>
    <cellStyle name="SAPBEXexcGood1" xfId="127"/>
    <cellStyle name="SAPBEXexcGood2" xfId="128"/>
    <cellStyle name="SAPBEXexcGood3" xfId="129"/>
    <cellStyle name="SAPBEXfilterDrill" xfId="130"/>
    <cellStyle name="SAPBEXfilterItem" xfId="131"/>
    <cellStyle name="SAPBEXfilterText" xfId="132"/>
    <cellStyle name="SAPBEXformats" xfId="133"/>
    <cellStyle name="SAPBEXheaderItem" xfId="134"/>
    <cellStyle name="SAPBEXheaderText" xfId="135"/>
    <cellStyle name="SAPBEXHLevel0" xfId="136"/>
    <cellStyle name="SAPBEXHLevel0X" xfId="137"/>
    <cellStyle name="SAPBEXHLevel1" xfId="138"/>
    <cellStyle name="SAPBEXHLevel1X" xfId="139"/>
    <cellStyle name="SAPBEXHLevel2" xfId="140"/>
    <cellStyle name="SAPBEXHLevel2X" xfId="141"/>
    <cellStyle name="SAPBEXHLevel3" xfId="142"/>
    <cellStyle name="SAPBEXHLevel3X" xfId="143"/>
    <cellStyle name="SAPBEXinputData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undefined" xfId="154"/>
    <cellStyle name="Sheet Title" xfId="155"/>
    <cellStyle name="Suma" xfId="156"/>
    <cellStyle name="Tekst objaśnienia" xfId="157"/>
    <cellStyle name="Tekst ostrzeżenia" xfId="158"/>
    <cellStyle name="Title" xfId="159"/>
    <cellStyle name="Total" xfId="160"/>
    <cellStyle name="Tytuł" xfId="161"/>
    <cellStyle name="Uwaga" xfId="162"/>
    <cellStyle name="Currency" xfId="163"/>
    <cellStyle name="Currency [0]" xfId="164"/>
    <cellStyle name="Warning Text" xfId="165"/>
    <cellStyle name="Zły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V23"/>
  <sheetViews>
    <sheetView zoomScale="110" zoomScaleNormal="110" zoomScalePageLayoutView="0" workbookViewId="0" topLeftCell="A1">
      <selection activeCell="G42" sqref="G42"/>
    </sheetView>
  </sheetViews>
  <sheetFormatPr defaultColWidth="9.140625" defaultRowHeight="12.75"/>
  <cols>
    <col min="2" max="2" width="40.00390625" style="0" customWidth="1"/>
  </cols>
  <sheetData>
    <row r="1" ht="13.5" thickBot="1"/>
    <row r="2" spans="2:22" ht="30" thickBot="1">
      <c r="B2" s="322" t="s">
        <v>231</v>
      </c>
      <c r="C2" s="387">
        <v>2015</v>
      </c>
      <c r="D2" s="357" t="s">
        <v>216</v>
      </c>
      <c r="E2" s="358" t="s">
        <v>217</v>
      </c>
      <c r="F2" s="358" t="s">
        <v>218</v>
      </c>
      <c r="G2" s="371" t="s">
        <v>219</v>
      </c>
      <c r="H2" s="385">
        <v>2016</v>
      </c>
      <c r="I2" s="374" t="s">
        <v>220</v>
      </c>
      <c r="J2" s="359" t="s">
        <v>221</v>
      </c>
      <c r="K2" s="358" t="s">
        <v>222</v>
      </c>
      <c r="L2" s="358" t="s">
        <v>223</v>
      </c>
      <c r="M2" s="358" t="s">
        <v>224</v>
      </c>
      <c r="N2" s="377">
        <v>2017</v>
      </c>
      <c r="O2" s="548" t="s">
        <v>225</v>
      </c>
      <c r="P2" s="652" t="s">
        <v>226</v>
      </c>
      <c r="Q2" s="653" t="s">
        <v>227</v>
      </c>
      <c r="R2" s="654" t="s">
        <v>228</v>
      </c>
      <c r="S2" s="356" t="s">
        <v>240</v>
      </c>
      <c r="T2" s="603" t="s">
        <v>229</v>
      </c>
      <c r="U2" s="564">
        <v>2018</v>
      </c>
      <c r="V2" s="603" t="s">
        <v>230</v>
      </c>
    </row>
    <row r="3" spans="2:22" ht="12.75">
      <c r="B3" s="323" t="s">
        <v>22</v>
      </c>
      <c r="C3" s="388"/>
      <c r="D3" s="364"/>
      <c r="E3" s="365"/>
      <c r="F3" s="365"/>
      <c r="G3" s="372"/>
      <c r="H3" s="378"/>
      <c r="I3" s="324"/>
      <c r="J3" s="324"/>
      <c r="K3" s="366"/>
      <c r="L3" s="395"/>
      <c r="M3" s="425"/>
      <c r="N3" s="426"/>
      <c r="O3" s="549"/>
      <c r="P3" s="364"/>
      <c r="Q3" s="372"/>
      <c r="R3" s="364"/>
      <c r="S3" s="607"/>
      <c r="T3" s="324"/>
      <c r="U3" s="426"/>
      <c r="V3" s="324"/>
    </row>
    <row r="4" spans="2:22" ht="12.75">
      <c r="B4" s="325" t="s">
        <v>232</v>
      </c>
      <c r="C4" s="389">
        <v>294.4</v>
      </c>
      <c r="D4" s="327">
        <v>50.6</v>
      </c>
      <c r="E4" s="328">
        <v>58.5</v>
      </c>
      <c r="F4" s="328">
        <v>56.7</v>
      </c>
      <c r="G4" s="329">
        <v>80.5</v>
      </c>
      <c r="H4" s="370">
        <v>246.4</v>
      </c>
      <c r="I4" s="397">
        <f aca="true" t="shared" si="0" ref="I4:I12">H4/C4-1</f>
        <v>-0.1630434782608695</v>
      </c>
      <c r="J4" s="331">
        <v>51</v>
      </c>
      <c r="K4" s="332">
        <v>55.4</v>
      </c>
      <c r="L4" s="332">
        <v>53.222</v>
      </c>
      <c r="M4" s="427">
        <v>73.9</v>
      </c>
      <c r="N4" s="406">
        <v>233.5</v>
      </c>
      <c r="O4" s="552">
        <f aca="true" t="shared" si="1" ref="O4:O12">N4/H4-1</f>
        <v>-0.05235389610389618</v>
      </c>
      <c r="P4" s="327">
        <v>34.512</v>
      </c>
      <c r="Q4" s="329">
        <v>47.3</v>
      </c>
      <c r="R4" s="327">
        <v>58.5</v>
      </c>
      <c r="S4" s="403">
        <v>74.1</v>
      </c>
      <c r="T4" s="428">
        <f>S4/M4-1</f>
        <v>0.0027063599458725385</v>
      </c>
      <c r="U4" s="406">
        <v>214.3</v>
      </c>
      <c r="V4" s="428">
        <f>U4/N4-1</f>
        <v>-0.08222698072805135</v>
      </c>
    </row>
    <row r="5" spans="2:22" ht="12.75">
      <c r="B5" s="325" t="s">
        <v>233</v>
      </c>
      <c r="C5" s="389">
        <v>264.8</v>
      </c>
      <c r="D5" s="327">
        <v>65.6</v>
      </c>
      <c r="E5" s="328">
        <v>73.6</v>
      </c>
      <c r="F5" s="328">
        <v>69.8</v>
      </c>
      <c r="G5" s="329">
        <v>56</v>
      </c>
      <c r="H5" s="370">
        <v>265.1</v>
      </c>
      <c r="I5" s="397">
        <f t="shared" si="0"/>
        <v>0.0011329305135951984</v>
      </c>
      <c r="J5" s="331">
        <v>65.6</v>
      </c>
      <c r="K5" s="332">
        <v>66.8</v>
      </c>
      <c r="L5" s="332">
        <v>64.3</v>
      </c>
      <c r="M5" s="427">
        <v>63.201</v>
      </c>
      <c r="N5" s="406">
        <v>259.9</v>
      </c>
      <c r="O5" s="552">
        <f t="shared" si="1"/>
        <v>-0.019615239532252193</v>
      </c>
      <c r="P5" s="327">
        <v>64.734</v>
      </c>
      <c r="Q5" s="329">
        <v>65.2</v>
      </c>
      <c r="R5" s="327">
        <v>68.3</v>
      </c>
      <c r="S5" s="403">
        <v>66.4</v>
      </c>
      <c r="T5" s="428">
        <f aca="true" t="shared" si="2" ref="T5:T19">S5/M5-1</f>
        <v>0.05061628771696669</v>
      </c>
      <c r="U5" s="406">
        <v>264.6</v>
      </c>
      <c r="V5" s="428">
        <f aca="true" t="shared" si="3" ref="V5:V19">U5/N5-1</f>
        <v>0.01808387841477499</v>
      </c>
    </row>
    <row r="6" spans="2:22" ht="12.75">
      <c r="B6" s="325" t="s">
        <v>234</v>
      </c>
      <c r="C6" s="389">
        <v>0</v>
      </c>
      <c r="D6" s="557" t="s">
        <v>37</v>
      </c>
      <c r="E6" s="543" t="s">
        <v>37</v>
      </c>
      <c r="F6" s="543" t="s">
        <v>37</v>
      </c>
      <c r="G6" s="436" t="s">
        <v>37</v>
      </c>
      <c r="H6" s="370">
        <v>35.2</v>
      </c>
      <c r="I6" s="397" t="s">
        <v>37</v>
      </c>
      <c r="J6" s="331">
        <v>-0.3</v>
      </c>
      <c r="K6" s="332">
        <v>0</v>
      </c>
      <c r="L6" s="332">
        <v>0</v>
      </c>
      <c r="M6" s="427">
        <v>0</v>
      </c>
      <c r="N6" s="406">
        <v>-0.3</v>
      </c>
      <c r="O6" s="404" t="s">
        <v>36</v>
      </c>
      <c r="P6" s="331">
        <v>0</v>
      </c>
      <c r="Q6" s="403">
        <v>11.3</v>
      </c>
      <c r="R6" s="327">
        <v>6.8</v>
      </c>
      <c r="S6" s="403">
        <v>4.2</v>
      </c>
      <c r="T6" s="428" t="s">
        <v>37</v>
      </c>
      <c r="U6" s="406">
        <v>22.3</v>
      </c>
      <c r="V6" s="428" t="s">
        <v>37</v>
      </c>
    </row>
    <row r="7" spans="2:22" ht="12.75">
      <c r="B7" s="325" t="s">
        <v>235</v>
      </c>
      <c r="C7" s="389">
        <v>12.2</v>
      </c>
      <c r="D7" s="327">
        <v>3.3</v>
      </c>
      <c r="E7" s="328">
        <v>3.4</v>
      </c>
      <c r="F7" s="328">
        <v>3.5</v>
      </c>
      <c r="G7" s="329">
        <v>2.8</v>
      </c>
      <c r="H7" s="370">
        <v>13.1</v>
      </c>
      <c r="I7" s="397">
        <f t="shared" si="0"/>
        <v>0.07377049180327866</v>
      </c>
      <c r="J7" s="331">
        <v>3</v>
      </c>
      <c r="K7" s="332">
        <v>3.3</v>
      </c>
      <c r="L7" s="332">
        <v>3.2</v>
      </c>
      <c r="M7" s="427">
        <v>3.4</v>
      </c>
      <c r="N7" s="406">
        <v>12.9</v>
      </c>
      <c r="O7" s="552">
        <f t="shared" si="1"/>
        <v>-0.015267175572518998</v>
      </c>
      <c r="P7" s="327">
        <v>3.23</v>
      </c>
      <c r="Q7" s="329">
        <v>3.3</v>
      </c>
      <c r="R7" s="327">
        <v>3.5</v>
      </c>
      <c r="S7" s="403">
        <v>3</v>
      </c>
      <c r="T7" s="428">
        <f t="shared" si="2"/>
        <v>-0.11764705882352944</v>
      </c>
      <c r="U7" s="406">
        <v>13.2</v>
      </c>
      <c r="V7" s="428">
        <f t="shared" si="3"/>
        <v>0.02325581395348819</v>
      </c>
    </row>
    <row r="8" spans="2:22" ht="12.75">
      <c r="B8" s="650" t="s">
        <v>236</v>
      </c>
      <c r="C8" s="389">
        <v>571.4</v>
      </c>
      <c r="D8" s="330" t="s">
        <v>26</v>
      </c>
      <c r="E8" s="333">
        <v>135.6</v>
      </c>
      <c r="F8" s="333">
        <v>130.1</v>
      </c>
      <c r="G8" s="334">
        <v>139.2</v>
      </c>
      <c r="H8" s="370">
        <f>SUM(H4:H7)</f>
        <v>559.8000000000001</v>
      </c>
      <c r="I8" s="398">
        <f t="shared" si="0"/>
        <v>-0.020301015050752325</v>
      </c>
      <c r="J8" s="370">
        <v>119.3</v>
      </c>
      <c r="K8" s="344">
        <f>SUM(K4:K7)</f>
        <v>125.49999999999999</v>
      </c>
      <c r="L8" s="344">
        <f>SUM(L4:L7)</f>
        <v>120.722</v>
      </c>
      <c r="M8" s="558">
        <f>ROUND(SUM(M4:M7),2)</f>
        <v>140.5</v>
      </c>
      <c r="N8" s="406">
        <f>SUM(N4:N7)</f>
        <v>505.99999999999994</v>
      </c>
      <c r="O8" s="559">
        <f t="shared" si="1"/>
        <v>-0.09610575205430527</v>
      </c>
      <c r="P8" s="330">
        <f>SUM(P4:P7)</f>
        <v>102.476</v>
      </c>
      <c r="Q8" s="334">
        <f>SUM(Q4:Q7)</f>
        <v>127.1</v>
      </c>
      <c r="R8" s="330">
        <f>SUM(R4:R7)</f>
        <v>137.1</v>
      </c>
      <c r="S8" s="406">
        <f>SUM(S4:S7)</f>
        <v>147.7</v>
      </c>
      <c r="T8" s="621">
        <f t="shared" si="2"/>
        <v>0.05124555160142341</v>
      </c>
      <c r="U8" s="406">
        <v>514.4</v>
      </c>
      <c r="V8" s="621">
        <f t="shared" si="3"/>
        <v>0.01660079051383412</v>
      </c>
    </row>
    <row r="9" spans="2:22" ht="12.75">
      <c r="B9" s="325" t="s">
        <v>204</v>
      </c>
      <c r="C9" s="389">
        <v>1245</v>
      </c>
      <c r="D9" s="327">
        <v>216.4</v>
      </c>
      <c r="E9" s="328">
        <v>328.1</v>
      </c>
      <c r="F9" s="328">
        <v>301.2</v>
      </c>
      <c r="G9" s="329">
        <v>343</v>
      </c>
      <c r="H9" s="370">
        <v>1188.7</v>
      </c>
      <c r="I9" s="397">
        <f t="shared" si="0"/>
        <v>-0.04522088353413656</v>
      </c>
      <c r="J9" s="331">
        <v>247</v>
      </c>
      <c r="K9" s="332">
        <v>308</v>
      </c>
      <c r="L9" s="332">
        <v>258</v>
      </c>
      <c r="M9" s="427">
        <v>372</v>
      </c>
      <c r="N9" s="406">
        <v>1185</v>
      </c>
      <c r="O9" s="552">
        <f t="shared" si="1"/>
        <v>-0.003112644064944936</v>
      </c>
      <c r="P9" s="327">
        <v>207</v>
      </c>
      <c r="Q9" s="329">
        <v>245</v>
      </c>
      <c r="R9" s="327">
        <v>349.9</v>
      </c>
      <c r="S9" s="403">
        <v>344.8</v>
      </c>
      <c r="T9" s="428">
        <f t="shared" si="2"/>
        <v>-0.07311827956989247</v>
      </c>
      <c r="U9" s="406">
        <v>1146.8</v>
      </c>
      <c r="V9" s="428">
        <f t="shared" si="3"/>
        <v>-0.03223628691983127</v>
      </c>
    </row>
    <row r="10" spans="2:22" ht="12.75">
      <c r="B10" s="325" t="s">
        <v>237</v>
      </c>
      <c r="C10" s="389">
        <v>0</v>
      </c>
      <c r="D10" s="557" t="s">
        <v>37</v>
      </c>
      <c r="E10" s="543" t="s">
        <v>37</v>
      </c>
      <c r="F10" s="543" t="s">
        <v>37</v>
      </c>
      <c r="G10" s="436" t="s">
        <v>37</v>
      </c>
      <c r="H10" s="370">
        <v>91</v>
      </c>
      <c r="I10" s="397" t="s">
        <v>36</v>
      </c>
      <c r="J10" s="331">
        <v>0</v>
      </c>
      <c r="K10" s="332">
        <v>0</v>
      </c>
      <c r="L10" s="332">
        <v>0</v>
      </c>
      <c r="M10" s="427">
        <v>0</v>
      </c>
      <c r="N10" s="406">
        <v>0</v>
      </c>
      <c r="O10" s="404" t="s">
        <v>36</v>
      </c>
      <c r="P10" s="331">
        <v>0</v>
      </c>
      <c r="Q10" s="403">
        <v>33.8</v>
      </c>
      <c r="R10" s="327">
        <v>33.2</v>
      </c>
      <c r="S10" s="403">
        <v>13.5</v>
      </c>
      <c r="T10" s="428" t="s">
        <v>37</v>
      </c>
      <c r="U10" s="406">
        <v>80.6</v>
      </c>
      <c r="V10" s="428" t="s">
        <v>37</v>
      </c>
    </row>
    <row r="11" spans="2:22" ht="12.75">
      <c r="B11" s="325" t="s">
        <v>238</v>
      </c>
      <c r="C11" s="389">
        <v>2660</v>
      </c>
      <c r="D11" s="327">
        <v>857</v>
      </c>
      <c r="E11" s="328">
        <v>751</v>
      </c>
      <c r="F11" s="328">
        <v>1032</v>
      </c>
      <c r="G11" s="329">
        <v>859</v>
      </c>
      <c r="H11" s="370">
        <v>3499</v>
      </c>
      <c r="I11" s="397">
        <f t="shared" si="0"/>
        <v>0.3154135338345865</v>
      </c>
      <c r="J11" s="331">
        <v>960</v>
      </c>
      <c r="K11" s="332">
        <v>865</v>
      </c>
      <c r="L11" s="332">
        <v>908</v>
      </c>
      <c r="M11" s="427">
        <v>909</v>
      </c>
      <c r="N11" s="406">
        <f>SUM(J11:M11)</f>
        <v>3642</v>
      </c>
      <c r="O11" s="552">
        <f t="shared" si="1"/>
        <v>0.04086881966276068</v>
      </c>
      <c r="P11" s="327">
        <v>631.2</v>
      </c>
      <c r="Q11" s="329">
        <v>589</v>
      </c>
      <c r="R11" s="327">
        <v>708</v>
      </c>
      <c r="S11" s="403">
        <v>679</v>
      </c>
      <c r="T11" s="428">
        <f t="shared" si="2"/>
        <v>-0.253025302530253</v>
      </c>
      <c r="U11" s="406">
        <v>2607</v>
      </c>
      <c r="V11" s="428">
        <f t="shared" si="3"/>
        <v>-0.2841845140032949</v>
      </c>
    </row>
    <row r="12" spans="2:22" ht="13.5" thickBot="1">
      <c r="B12" s="325" t="s">
        <v>206</v>
      </c>
      <c r="C12" s="389">
        <v>30.4</v>
      </c>
      <c r="D12" s="336">
        <v>7.4</v>
      </c>
      <c r="E12" s="337">
        <v>8.2</v>
      </c>
      <c r="F12" s="337">
        <v>6.2</v>
      </c>
      <c r="G12" s="338">
        <v>7.8</v>
      </c>
      <c r="H12" s="379">
        <v>29.7</v>
      </c>
      <c r="I12" s="399">
        <f t="shared" si="0"/>
        <v>-0.023026315789473673</v>
      </c>
      <c r="J12" s="339">
        <v>7.6</v>
      </c>
      <c r="K12" s="340">
        <v>7</v>
      </c>
      <c r="L12" s="340">
        <v>7.5</v>
      </c>
      <c r="M12" s="429">
        <v>7.5</v>
      </c>
      <c r="N12" s="430">
        <v>29.6</v>
      </c>
      <c r="O12" s="553">
        <f t="shared" si="1"/>
        <v>-0.0033670033670032407</v>
      </c>
      <c r="P12" s="346">
        <v>7.4</v>
      </c>
      <c r="Q12" s="348">
        <v>6.7</v>
      </c>
      <c r="R12" s="346">
        <v>7.8</v>
      </c>
      <c r="S12" s="606">
        <v>8.6</v>
      </c>
      <c r="T12" s="437">
        <f t="shared" si="2"/>
        <v>0.14666666666666672</v>
      </c>
      <c r="U12" s="430">
        <v>30.5</v>
      </c>
      <c r="V12" s="437">
        <f t="shared" si="3"/>
        <v>0.03040540540540526</v>
      </c>
    </row>
    <row r="13" spans="2:22" ht="12.75">
      <c r="B13" s="651" t="s">
        <v>207</v>
      </c>
      <c r="C13" s="390"/>
      <c r="D13" s="351"/>
      <c r="E13" s="352"/>
      <c r="F13" s="352"/>
      <c r="G13" s="353"/>
      <c r="H13" s="383"/>
      <c r="I13" s="400"/>
      <c r="J13" s="354"/>
      <c r="K13" s="355"/>
      <c r="L13" s="355"/>
      <c r="M13" s="431"/>
      <c r="N13" s="432"/>
      <c r="O13" s="554"/>
      <c r="P13" s="351"/>
      <c r="Q13" s="353"/>
      <c r="R13" s="351"/>
      <c r="S13" s="604"/>
      <c r="T13" s="400"/>
      <c r="U13" s="432"/>
      <c r="V13" s="619"/>
    </row>
    <row r="14" spans="2:22" ht="12.75">
      <c r="B14" s="325" t="s">
        <v>208</v>
      </c>
      <c r="C14" s="389">
        <v>98.9</v>
      </c>
      <c r="D14" s="327">
        <v>22.6</v>
      </c>
      <c r="E14" s="328">
        <v>22</v>
      </c>
      <c r="F14" s="328">
        <v>21.1</v>
      </c>
      <c r="G14" s="329">
        <v>24.6</v>
      </c>
      <c r="H14" s="381">
        <v>90.2</v>
      </c>
      <c r="I14" s="401">
        <f>H14/C14-1</f>
        <v>-0.0879676440849343</v>
      </c>
      <c r="J14" s="331">
        <v>17.2</v>
      </c>
      <c r="K14" s="332">
        <v>19.2</v>
      </c>
      <c r="L14" s="332">
        <v>18.2</v>
      </c>
      <c r="M14" s="427">
        <v>25.4</v>
      </c>
      <c r="N14" s="433">
        <f>SUM(J14:M14)</f>
        <v>80</v>
      </c>
      <c r="O14" s="552">
        <f>N14/H14-1</f>
        <v>-0.11308203991130827</v>
      </c>
      <c r="P14" s="327">
        <v>17.3</v>
      </c>
      <c r="Q14" s="329">
        <v>21.1</v>
      </c>
      <c r="R14" s="327">
        <v>18.3</v>
      </c>
      <c r="S14" s="403">
        <v>21.3</v>
      </c>
      <c r="T14" s="428">
        <f t="shared" si="2"/>
        <v>-0.1614173228346456</v>
      </c>
      <c r="U14" s="433">
        <v>78</v>
      </c>
      <c r="V14" s="428">
        <f t="shared" si="3"/>
        <v>-0.025000000000000022</v>
      </c>
    </row>
    <row r="15" spans="2:22" ht="12.75">
      <c r="B15" s="325" t="s">
        <v>209</v>
      </c>
      <c r="C15" s="389">
        <v>2.2</v>
      </c>
      <c r="D15" s="327">
        <v>0.5</v>
      </c>
      <c r="E15" s="328">
        <v>0.6</v>
      </c>
      <c r="F15" s="328">
        <v>0.5</v>
      </c>
      <c r="G15" s="329">
        <v>0.5</v>
      </c>
      <c r="H15" s="381">
        <v>2.1</v>
      </c>
      <c r="I15" s="401">
        <f>H15/C15-1</f>
        <v>-0.045454545454545525</v>
      </c>
      <c r="J15" s="331">
        <v>0.3</v>
      </c>
      <c r="K15" s="332">
        <v>0.3</v>
      </c>
      <c r="L15" s="332">
        <v>0.2</v>
      </c>
      <c r="M15" s="427">
        <v>0.3</v>
      </c>
      <c r="N15" s="433">
        <f>SUM(J15:M15)</f>
        <v>1.1</v>
      </c>
      <c r="O15" s="552">
        <f>N15/H15-1</f>
        <v>-0.47619047619047616</v>
      </c>
      <c r="P15" s="327">
        <v>0.2</v>
      </c>
      <c r="Q15" s="329">
        <v>0.2</v>
      </c>
      <c r="R15" s="327">
        <v>0.3</v>
      </c>
      <c r="S15" s="403">
        <v>0.2</v>
      </c>
      <c r="T15" s="428">
        <f t="shared" si="2"/>
        <v>-0.33333333333333326</v>
      </c>
      <c r="U15" s="433">
        <v>0.9</v>
      </c>
      <c r="V15" s="428">
        <f t="shared" si="3"/>
        <v>-0.18181818181818188</v>
      </c>
    </row>
    <row r="16" spans="2:22" ht="13.5" thickBot="1">
      <c r="B16" s="325" t="s">
        <v>210</v>
      </c>
      <c r="C16" s="389">
        <v>97</v>
      </c>
      <c r="D16" s="336">
        <v>23</v>
      </c>
      <c r="E16" s="337">
        <v>24.7</v>
      </c>
      <c r="F16" s="337">
        <v>21.7</v>
      </c>
      <c r="G16" s="338">
        <v>25</v>
      </c>
      <c r="H16" s="384">
        <v>94.3</v>
      </c>
      <c r="I16" s="402">
        <f>H16/C16-1</f>
        <v>-0.027835051546391765</v>
      </c>
      <c r="J16" s="339">
        <v>13.8</v>
      </c>
      <c r="K16" s="340">
        <v>19.9</v>
      </c>
      <c r="L16" s="340">
        <v>17.1</v>
      </c>
      <c r="M16" s="429">
        <v>21.8</v>
      </c>
      <c r="N16" s="433">
        <f>SUM(J16:M16)</f>
        <v>72.60000000000001</v>
      </c>
      <c r="O16" s="555">
        <f>N16/H16-1</f>
        <v>-0.23011664899257678</v>
      </c>
      <c r="P16" s="346">
        <v>13.9</v>
      </c>
      <c r="Q16" s="348">
        <v>17.7</v>
      </c>
      <c r="R16" s="346">
        <v>16.1</v>
      </c>
      <c r="S16" s="606">
        <v>18.3</v>
      </c>
      <c r="T16" s="437">
        <f t="shared" si="2"/>
        <v>-0.16055045871559637</v>
      </c>
      <c r="U16" s="433">
        <v>66</v>
      </c>
      <c r="V16" s="620">
        <f t="shared" si="3"/>
        <v>-0.09090909090909105</v>
      </c>
    </row>
    <row r="17" spans="2:22" ht="12.75">
      <c r="B17" s="323" t="s">
        <v>27</v>
      </c>
      <c r="C17" s="391"/>
      <c r="D17" s="361"/>
      <c r="E17" s="362"/>
      <c r="F17" s="362"/>
      <c r="G17" s="373"/>
      <c r="H17" s="396"/>
      <c r="I17" s="392"/>
      <c r="J17" s="352"/>
      <c r="K17" s="368"/>
      <c r="L17" s="352"/>
      <c r="M17" s="352"/>
      <c r="N17" s="434"/>
      <c r="O17" s="556"/>
      <c r="P17" s="351"/>
      <c r="Q17" s="353"/>
      <c r="R17" s="351"/>
      <c r="S17" s="604"/>
      <c r="T17" s="400"/>
      <c r="U17" s="434"/>
      <c r="V17" s="400"/>
    </row>
    <row r="18" spans="2:22" ht="12.75">
      <c r="B18" s="325" t="s">
        <v>208</v>
      </c>
      <c r="C18" s="326">
        <v>28.2</v>
      </c>
      <c r="D18" s="327">
        <v>12.6</v>
      </c>
      <c r="E18" s="328">
        <v>11.4</v>
      </c>
      <c r="F18" s="328">
        <v>13.6</v>
      </c>
      <c r="G18" s="329">
        <v>14.4</v>
      </c>
      <c r="H18" s="406">
        <v>52</v>
      </c>
      <c r="I18" s="393">
        <f>H18/C18-1</f>
        <v>0.8439716312056738</v>
      </c>
      <c r="J18" s="328">
        <v>14.5</v>
      </c>
      <c r="K18" s="328">
        <v>13</v>
      </c>
      <c r="L18" s="328">
        <v>13.6</v>
      </c>
      <c r="M18" s="328">
        <v>13</v>
      </c>
      <c r="N18" s="381">
        <f>SUM(J18:M18)</f>
        <v>54.1</v>
      </c>
      <c r="O18" s="552">
        <f>N18/H18-1</f>
        <v>0.04038461538461546</v>
      </c>
      <c r="P18" s="327">
        <v>12.6</v>
      </c>
      <c r="Q18" s="329">
        <v>10</v>
      </c>
      <c r="R18" s="327">
        <v>13.9</v>
      </c>
      <c r="S18" s="403">
        <v>15.6</v>
      </c>
      <c r="T18" s="428">
        <f t="shared" si="2"/>
        <v>0.19999999999999996</v>
      </c>
      <c r="U18" s="381">
        <v>52.1</v>
      </c>
      <c r="V18" s="428">
        <f t="shared" si="3"/>
        <v>-0.0369685767097967</v>
      </c>
    </row>
    <row r="19" spans="2:22" ht="13.5" thickBot="1">
      <c r="B19" s="325" t="s">
        <v>211</v>
      </c>
      <c r="C19" s="335">
        <v>2.4</v>
      </c>
      <c r="D19" s="336">
        <v>3.1</v>
      </c>
      <c r="E19" s="337">
        <v>4.8</v>
      </c>
      <c r="F19" s="337">
        <v>2</v>
      </c>
      <c r="G19" s="338">
        <v>3.4</v>
      </c>
      <c r="H19" s="435">
        <v>13.3</v>
      </c>
      <c r="I19" s="394">
        <f>H19/C19-1</f>
        <v>4.541666666666667</v>
      </c>
      <c r="J19" s="337">
        <v>2.6</v>
      </c>
      <c r="K19" s="337">
        <v>4.6</v>
      </c>
      <c r="L19" s="337">
        <v>6</v>
      </c>
      <c r="M19" s="337">
        <v>6.2</v>
      </c>
      <c r="N19" s="384">
        <f>SUM(J19:M19)</f>
        <v>19.4</v>
      </c>
      <c r="O19" s="555">
        <v>0.47</v>
      </c>
      <c r="P19" s="336">
        <v>4.1</v>
      </c>
      <c r="Q19" s="338">
        <v>4.2</v>
      </c>
      <c r="R19" s="336">
        <v>4.5</v>
      </c>
      <c r="S19" s="605">
        <v>4.1</v>
      </c>
      <c r="T19" s="437">
        <f t="shared" si="2"/>
        <v>-0.33870967741935487</v>
      </c>
      <c r="U19" s="384">
        <v>16.9</v>
      </c>
      <c r="V19" s="437">
        <f t="shared" si="3"/>
        <v>-0.12886597938144329</v>
      </c>
    </row>
    <row r="20" ht="12.75">
      <c r="B20" s="407"/>
    </row>
    <row r="21" ht="12.75">
      <c r="B21" s="341" t="s">
        <v>239</v>
      </c>
    </row>
    <row r="22" ht="12.75">
      <c r="B22" s="341" t="s">
        <v>214</v>
      </c>
    </row>
    <row r="23" spans="2:5" ht="12.75">
      <c r="B23" s="341"/>
      <c r="C23" s="341"/>
      <c r="D23" s="341"/>
      <c r="E23" s="341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74"/>
  <sheetViews>
    <sheetView showGridLines="0" tabSelected="1" zoomScale="80" zoomScaleNormal="80" zoomScaleSheetLayoutView="100" zoomScalePageLayoutView="0" workbookViewId="0" topLeftCell="A1">
      <pane xSplit="3" ySplit="10" topLeftCell="J1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I28" sqref="AI28"/>
    </sheetView>
  </sheetViews>
  <sheetFormatPr defaultColWidth="8.8515625" defaultRowHeight="12.75"/>
  <cols>
    <col min="1" max="1" width="3.28125" style="79" customWidth="1"/>
    <col min="2" max="2" width="55.57421875" style="79" bestFit="1" customWidth="1"/>
    <col min="3" max="3" width="0.9921875" style="133" customWidth="1"/>
    <col min="4" max="8" width="10.7109375" style="79" customWidth="1"/>
    <col min="9" max="9" width="0.9921875" style="79" customWidth="1"/>
    <col min="10" max="14" width="10.7109375" style="79" customWidth="1"/>
    <col min="15" max="15" width="0.9921875" style="79" customWidth="1"/>
    <col min="16" max="16" width="10.57421875" style="79" customWidth="1"/>
    <col min="17" max="20" width="10.7109375" style="79" customWidth="1"/>
    <col min="21" max="21" width="0.9921875" style="79" customWidth="1"/>
    <col min="22" max="26" width="10.7109375" style="79" customWidth="1"/>
    <col min="27" max="27" width="0.9921875" style="79" customWidth="1"/>
    <col min="28" max="32" width="10.7109375" style="79" customWidth="1"/>
    <col min="33" max="16384" width="8.8515625" style="79" customWidth="1"/>
  </cols>
  <sheetData>
    <row r="2" spans="1:27" s="64" customFormat="1" ht="15">
      <c r="A2" s="61"/>
      <c r="B2" s="62" t="s">
        <v>40</v>
      </c>
      <c r="C2" s="63"/>
      <c r="I2" s="65"/>
      <c r="O2" s="65"/>
      <c r="U2" s="65"/>
      <c r="AA2" s="65"/>
    </row>
    <row r="3" spans="1:27" s="64" customFormat="1" ht="15">
      <c r="A3" s="61"/>
      <c r="B3" s="62"/>
      <c r="C3" s="63"/>
      <c r="I3" s="65"/>
      <c r="O3" s="65"/>
      <c r="U3" s="65"/>
      <c r="AA3" s="65"/>
    </row>
    <row r="4" spans="2:32" s="66" customFormat="1" ht="12" customHeight="1">
      <c r="B4" s="67" t="s">
        <v>41</v>
      </c>
      <c r="C4" s="67"/>
      <c r="D4" s="68"/>
      <c r="E4" s="68"/>
      <c r="F4" s="68"/>
      <c r="G4" s="68"/>
      <c r="H4" s="69"/>
      <c r="I4" s="70"/>
      <c r="J4" s="68"/>
      <c r="K4" s="68"/>
      <c r="L4" s="68"/>
      <c r="M4" s="68"/>
      <c r="N4" s="69"/>
      <c r="O4" s="70"/>
      <c r="P4" s="68"/>
      <c r="Q4" s="68"/>
      <c r="R4" s="68"/>
      <c r="S4" s="68"/>
      <c r="T4" s="68"/>
      <c r="U4" s="70"/>
      <c r="V4" s="68"/>
      <c r="W4" s="68"/>
      <c r="X4" s="68"/>
      <c r="Y4" s="68"/>
      <c r="Z4" s="68"/>
      <c r="AA4" s="70"/>
      <c r="AB4" s="68"/>
      <c r="AC4" s="68"/>
      <c r="AD4" s="68"/>
      <c r="AE4" s="68"/>
      <c r="AF4" s="55"/>
    </row>
    <row r="5" spans="2:32" s="66" customFormat="1" ht="12" customHeight="1">
      <c r="B5" s="71" t="s">
        <v>42</v>
      </c>
      <c r="C5" s="72"/>
      <c r="D5" s="138">
        <v>7041</v>
      </c>
      <c r="E5" s="73">
        <v>6787</v>
      </c>
      <c r="F5" s="73">
        <v>6994</v>
      </c>
      <c r="G5" s="73">
        <v>6624</v>
      </c>
      <c r="H5" s="73">
        <v>6862</v>
      </c>
      <c r="I5" s="569"/>
      <c r="J5" s="73">
        <v>5818</v>
      </c>
      <c r="K5" s="73">
        <v>6043</v>
      </c>
      <c r="L5" s="73">
        <v>5259</v>
      </c>
      <c r="M5" s="73">
        <v>4892</v>
      </c>
      <c r="N5" s="73">
        <v>5495</v>
      </c>
      <c r="O5" s="569"/>
      <c r="P5" s="73">
        <v>4672</v>
      </c>
      <c r="Q5" s="73">
        <v>4729</v>
      </c>
      <c r="R5" s="73">
        <v>4772</v>
      </c>
      <c r="S5" s="73">
        <v>5277</v>
      </c>
      <c r="T5" s="73">
        <v>4863</v>
      </c>
      <c r="U5" s="569"/>
      <c r="V5" s="73">
        <v>5831</v>
      </c>
      <c r="W5" s="73">
        <v>5662</v>
      </c>
      <c r="X5" s="73">
        <v>6349</v>
      </c>
      <c r="Y5" s="73">
        <v>6808</v>
      </c>
      <c r="Z5" s="73">
        <v>6166</v>
      </c>
      <c r="AA5" s="569"/>
      <c r="AB5" s="73">
        <v>6961</v>
      </c>
      <c r="AC5" s="73">
        <v>6872</v>
      </c>
      <c r="AD5" s="73">
        <v>6105</v>
      </c>
      <c r="AE5" s="73">
        <v>6172</v>
      </c>
      <c r="AF5" s="422">
        <v>6523</v>
      </c>
    </row>
    <row r="6" spans="2:32" s="66" customFormat="1" ht="12" customHeight="1">
      <c r="B6" s="71" t="s">
        <v>43</v>
      </c>
      <c r="C6" s="72"/>
      <c r="D6" s="139">
        <v>20.48</v>
      </c>
      <c r="E6" s="74">
        <v>19.62</v>
      </c>
      <c r="F6" s="74">
        <v>19.76</v>
      </c>
      <c r="G6" s="74">
        <v>16.5</v>
      </c>
      <c r="H6" s="74">
        <v>19.08</v>
      </c>
      <c r="I6" s="570"/>
      <c r="J6" s="74">
        <v>16.71</v>
      </c>
      <c r="K6" s="74">
        <v>16.39</v>
      </c>
      <c r="L6" s="74">
        <v>14.91</v>
      </c>
      <c r="M6" s="74">
        <v>14.77</v>
      </c>
      <c r="N6" s="74">
        <v>15.68</v>
      </c>
      <c r="O6" s="570"/>
      <c r="P6" s="74">
        <v>14.85</v>
      </c>
      <c r="Q6" s="74">
        <v>16.78</v>
      </c>
      <c r="R6" s="74">
        <v>19.61</v>
      </c>
      <c r="S6" s="74">
        <v>17.19</v>
      </c>
      <c r="T6" s="74">
        <v>17.14</v>
      </c>
      <c r="U6" s="570"/>
      <c r="V6" s="74">
        <v>17.42</v>
      </c>
      <c r="W6" s="74">
        <v>17.21</v>
      </c>
      <c r="X6" s="74">
        <v>16.84</v>
      </c>
      <c r="Y6" s="74">
        <v>16.73</v>
      </c>
      <c r="Z6" s="74">
        <v>17.05</v>
      </c>
      <c r="AA6" s="570"/>
      <c r="AB6" s="74">
        <v>16.77</v>
      </c>
      <c r="AC6" s="74">
        <v>16.53</v>
      </c>
      <c r="AD6" s="74">
        <v>15.02</v>
      </c>
      <c r="AE6" s="74">
        <v>14.54</v>
      </c>
      <c r="AF6" s="417">
        <v>15.71</v>
      </c>
    </row>
    <row r="7" spans="2:32" s="66" customFormat="1" ht="12" customHeight="1">
      <c r="B7" s="71" t="s">
        <v>44</v>
      </c>
      <c r="C7" s="72"/>
      <c r="D7" s="139">
        <v>3.06</v>
      </c>
      <c r="E7" s="74">
        <v>3.04</v>
      </c>
      <c r="F7" s="74">
        <v>3.15</v>
      </c>
      <c r="G7" s="74">
        <v>3.37</v>
      </c>
      <c r="H7" s="76">
        <v>3.15</v>
      </c>
      <c r="I7" s="570"/>
      <c r="J7" s="74">
        <v>3.73</v>
      </c>
      <c r="K7" s="74">
        <v>3.7</v>
      </c>
      <c r="L7" s="74">
        <v>3.77</v>
      </c>
      <c r="M7" s="74">
        <v>3.89</v>
      </c>
      <c r="N7" s="74">
        <v>3.77</v>
      </c>
      <c r="O7" s="570"/>
      <c r="P7" s="74">
        <v>3.96</v>
      </c>
      <c r="Q7" s="74">
        <v>3.87</v>
      </c>
      <c r="R7" s="74">
        <v>3.89</v>
      </c>
      <c r="S7" s="74">
        <v>4.06</v>
      </c>
      <c r="T7" s="74">
        <v>3.94</v>
      </c>
      <c r="U7" s="570"/>
      <c r="V7" s="74">
        <v>4.0584828125</v>
      </c>
      <c r="W7" s="74">
        <v>3.8306918032786883</v>
      </c>
      <c r="X7" s="74">
        <v>3.63</v>
      </c>
      <c r="Y7" s="74">
        <v>3.6</v>
      </c>
      <c r="Z7" s="74">
        <v>3.78</v>
      </c>
      <c r="AA7" s="570"/>
      <c r="AB7" s="74">
        <v>3.4009</v>
      </c>
      <c r="AC7" s="74">
        <v>3.58</v>
      </c>
      <c r="AD7" s="74">
        <v>3.7</v>
      </c>
      <c r="AE7" s="74">
        <v>3.78</v>
      </c>
      <c r="AF7" s="417">
        <v>3.6227</v>
      </c>
    </row>
    <row r="8" spans="2:32" s="66" customFormat="1" ht="12" customHeight="1">
      <c r="B8" s="71" t="s">
        <v>45</v>
      </c>
      <c r="C8" s="72"/>
      <c r="D8" s="139">
        <v>3.0344</v>
      </c>
      <c r="E8" s="74">
        <v>3.0473</v>
      </c>
      <c r="F8" s="74">
        <v>3.2973</v>
      </c>
      <c r="G8" s="74">
        <v>3.5072</v>
      </c>
      <c r="H8" s="74">
        <f>+G8</f>
        <v>3.5072</v>
      </c>
      <c r="I8" s="570"/>
      <c r="J8" s="74">
        <v>3.8125</v>
      </c>
      <c r="K8" s="74">
        <v>3.7645</v>
      </c>
      <c r="L8" s="74">
        <v>3.7754</v>
      </c>
      <c r="M8" s="74">
        <v>3.9011</v>
      </c>
      <c r="N8" s="74">
        <f>+M8</f>
        <v>3.9011</v>
      </c>
      <c r="O8" s="570"/>
      <c r="P8" s="74">
        <v>3.759</v>
      </c>
      <c r="Q8" s="74">
        <v>3.9803</v>
      </c>
      <c r="R8" s="74">
        <v>3.8558</v>
      </c>
      <c r="S8" s="74">
        <v>4.1793</v>
      </c>
      <c r="T8" s="74">
        <f>+S8</f>
        <v>4.1793</v>
      </c>
      <c r="U8" s="570"/>
      <c r="V8" s="74">
        <v>3.95</v>
      </c>
      <c r="W8" s="74">
        <v>3.71</v>
      </c>
      <c r="X8" s="74">
        <v>3.65</v>
      </c>
      <c r="Y8" s="74">
        <v>3.48</v>
      </c>
      <c r="Z8" s="74">
        <v>3.48</v>
      </c>
      <c r="AA8" s="570"/>
      <c r="AB8" s="74">
        <v>3.4139</v>
      </c>
      <c r="AC8" s="74">
        <v>3.74</v>
      </c>
      <c r="AD8" s="74">
        <v>3.68</v>
      </c>
      <c r="AE8" s="74">
        <v>3.7597</v>
      </c>
      <c r="AF8" s="417">
        <v>3.7597</v>
      </c>
    </row>
    <row r="9" spans="1:32" ht="11.25">
      <c r="A9" s="77"/>
      <c r="B9" s="67"/>
      <c r="C9" s="67"/>
      <c r="D9" s="140"/>
      <c r="E9" s="77"/>
      <c r="F9" s="77"/>
      <c r="G9" s="77"/>
      <c r="H9" s="77"/>
      <c r="I9" s="571"/>
      <c r="J9" s="77"/>
      <c r="K9" s="78"/>
      <c r="L9" s="78"/>
      <c r="M9" s="78"/>
      <c r="N9" s="77"/>
      <c r="O9" s="571"/>
      <c r="P9" s="77"/>
      <c r="Q9" s="77"/>
      <c r="R9" s="77"/>
      <c r="S9" s="77"/>
      <c r="T9" s="77"/>
      <c r="U9" s="571"/>
      <c r="V9" s="77"/>
      <c r="W9" s="77"/>
      <c r="X9" s="77"/>
      <c r="Y9" s="77"/>
      <c r="Z9" s="77"/>
      <c r="AA9" s="571"/>
      <c r="AB9" s="77"/>
      <c r="AC9" s="77"/>
      <c r="AD9" s="77"/>
      <c r="AE9" s="77"/>
      <c r="AF9" s="77"/>
    </row>
    <row r="10" spans="1:32" ht="11.25">
      <c r="A10" s="80"/>
      <c r="B10" s="67" t="s">
        <v>46</v>
      </c>
      <c r="C10" s="67"/>
      <c r="D10" s="141" t="s">
        <v>0</v>
      </c>
      <c r="E10" s="69" t="s">
        <v>1</v>
      </c>
      <c r="F10" s="69" t="s">
        <v>2</v>
      </c>
      <c r="G10" s="69" t="s">
        <v>3</v>
      </c>
      <c r="H10" s="69">
        <v>2014</v>
      </c>
      <c r="I10" s="572"/>
      <c r="J10" s="69" t="s">
        <v>4</v>
      </c>
      <c r="K10" s="69" t="s">
        <v>5</v>
      </c>
      <c r="L10" s="69" t="s">
        <v>6</v>
      </c>
      <c r="M10" s="69" t="s">
        <v>7</v>
      </c>
      <c r="N10" s="69">
        <v>2015</v>
      </c>
      <c r="O10" s="572"/>
      <c r="P10" s="69" t="s">
        <v>8</v>
      </c>
      <c r="Q10" s="69" t="s">
        <v>9</v>
      </c>
      <c r="R10" s="69" t="s">
        <v>10</v>
      </c>
      <c r="S10" s="69" t="s">
        <v>11</v>
      </c>
      <c r="T10" s="81">
        <v>2016</v>
      </c>
      <c r="U10" s="572"/>
      <c r="V10" s="81" t="s">
        <v>16</v>
      </c>
      <c r="W10" s="81" t="s">
        <v>17</v>
      </c>
      <c r="X10" s="81" t="s">
        <v>20</v>
      </c>
      <c r="Y10" s="81" t="s">
        <v>21</v>
      </c>
      <c r="Z10" s="55">
        <v>2017</v>
      </c>
      <c r="AA10" s="572"/>
      <c r="AB10" s="55" t="s">
        <v>28</v>
      </c>
      <c r="AC10" s="55" t="s">
        <v>30</v>
      </c>
      <c r="AD10" s="55" t="s">
        <v>35</v>
      </c>
      <c r="AE10" s="55" t="s">
        <v>38</v>
      </c>
      <c r="AF10" s="69">
        <v>2018</v>
      </c>
    </row>
    <row r="11" spans="1:32" s="88" customFormat="1" ht="11.25">
      <c r="A11" s="82"/>
      <c r="B11" s="83" t="s">
        <v>47</v>
      </c>
      <c r="C11" s="84"/>
      <c r="D11" s="142">
        <v>4650</v>
      </c>
      <c r="E11" s="86">
        <v>4878</v>
      </c>
      <c r="F11" s="86">
        <v>5188</v>
      </c>
      <c r="G11" s="86">
        <v>5776</v>
      </c>
      <c r="H11" s="86">
        <v>20492</v>
      </c>
      <c r="I11" s="573"/>
      <c r="J11" s="86">
        <v>4731</v>
      </c>
      <c r="K11" s="86">
        <v>5329</v>
      </c>
      <c r="L11" s="86">
        <v>4800</v>
      </c>
      <c r="M11" s="86">
        <f>N11-SUM(J11:L11)</f>
        <v>5148</v>
      </c>
      <c r="N11" s="86">
        <v>20008</v>
      </c>
      <c r="O11" s="573"/>
      <c r="P11" s="86">
        <v>3912</v>
      </c>
      <c r="Q11" s="86">
        <v>4544</v>
      </c>
      <c r="R11" s="86">
        <v>4685</v>
      </c>
      <c r="S11" s="86">
        <v>6015</v>
      </c>
      <c r="T11" s="85">
        <v>19156</v>
      </c>
      <c r="U11" s="573"/>
      <c r="V11" s="85">
        <v>4911</v>
      </c>
      <c r="W11" s="85">
        <f>9713-4911</f>
        <v>4802</v>
      </c>
      <c r="X11" s="85">
        <v>4774</v>
      </c>
      <c r="Y11" s="85">
        <f>20358-V11-W11-X11</f>
        <v>5871</v>
      </c>
      <c r="Z11" s="85">
        <f aca="true" t="shared" si="0" ref="Z11:Z38">V11+W11+X11+Y11</f>
        <v>20358</v>
      </c>
      <c r="AA11" s="573"/>
      <c r="AB11" s="85">
        <v>4266</v>
      </c>
      <c r="AC11" s="85">
        <v>5157</v>
      </c>
      <c r="AD11" s="85">
        <v>5364</v>
      </c>
      <c r="AE11" s="85">
        <v>5739</v>
      </c>
      <c r="AF11" s="421">
        <v>20526</v>
      </c>
    </row>
    <row r="12" spans="1:32" s="94" customFormat="1" ht="11.25">
      <c r="A12" s="89"/>
      <c r="B12" s="90" t="s">
        <v>12</v>
      </c>
      <c r="C12" s="91"/>
      <c r="D12" s="143">
        <v>3800</v>
      </c>
      <c r="E12" s="92">
        <v>3927</v>
      </c>
      <c r="F12" s="92">
        <v>4116</v>
      </c>
      <c r="G12" s="92">
        <v>4790</v>
      </c>
      <c r="H12" s="92">
        <v>16633</v>
      </c>
      <c r="I12" s="574"/>
      <c r="J12" s="92">
        <v>3767</v>
      </c>
      <c r="K12" s="92">
        <v>4325</v>
      </c>
      <c r="L12" s="92">
        <v>3681</v>
      </c>
      <c r="M12" s="92">
        <v>4166</v>
      </c>
      <c r="N12" s="92">
        <v>15939</v>
      </c>
      <c r="O12" s="574"/>
      <c r="P12" s="92">
        <v>2979</v>
      </c>
      <c r="Q12" s="92">
        <v>3561</v>
      </c>
      <c r="R12" s="92">
        <v>3744</v>
      </c>
      <c r="S12" s="92">
        <v>4828</v>
      </c>
      <c r="T12" s="92">
        <v>15112</v>
      </c>
      <c r="U12" s="574"/>
      <c r="V12" s="92">
        <v>3896</v>
      </c>
      <c r="W12" s="92">
        <f>7701-3896</f>
        <v>3805</v>
      </c>
      <c r="X12" s="92">
        <f>11433-3896-3805</f>
        <v>3732</v>
      </c>
      <c r="Y12" s="92">
        <f>16024-V12-W12-X12</f>
        <v>4591</v>
      </c>
      <c r="Z12" s="92">
        <f t="shared" si="0"/>
        <v>16024</v>
      </c>
      <c r="AA12" s="574"/>
      <c r="AB12" s="92">
        <v>3206</v>
      </c>
      <c r="AC12" s="92">
        <v>3983</v>
      </c>
      <c r="AD12" s="92">
        <f>11317-3206-3983</f>
        <v>4128</v>
      </c>
      <c r="AE12" s="92">
        <v>4440</v>
      </c>
      <c r="AF12" s="416">
        <v>15757</v>
      </c>
    </row>
    <row r="13" spans="1:32" s="94" customFormat="1" ht="11.25">
      <c r="A13" s="89"/>
      <c r="B13" s="90" t="s">
        <v>13</v>
      </c>
      <c r="C13" s="91"/>
      <c r="D13" s="143">
        <v>452</v>
      </c>
      <c r="E13" s="92">
        <v>544</v>
      </c>
      <c r="F13" s="92">
        <v>657</v>
      </c>
      <c r="G13" s="92">
        <v>576</v>
      </c>
      <c r="H13" s="92">
        <v>2229</v>
      </c>
      <c r="I13" s="574"/>
      <c r="J13" s="92">
        <v>619</v>
      </c>
      <c r="K13" s="92">
        <v>605</v>
      </c>
      <c r="L13" s="92">
        <v>738</v>
      </c>
      <c r="M13" s="92">
        <v>615</v>
      </c>
      <c r="N13" s="92">
        <v>2577</v>
      </c>
      <c r="O13" s="574"/>
      <c r="P13" s="92">
        <v>588</v>
      </c>
      <c r="Q13" s="92">
        <v>610</v>
      </c>
      <c r="R13" s="92">
        <v>566</v>
      </c>
      <c r="S13" s="92">
        <v>771</v>
      </c>
      <c r="T13" s="92">
        <v>2535</v>
      </c>
      <c r="U13" s="574"/>
      <c r="V13" s="92">
        <v>580</v>
      </c>
      <c r="W13" s="92">
        <f>1181-580</f>
        <v>601</v>
      </c>
      <c r="X13" s="92">
        <f>1793-580-601</f>
        <v>612</v>
      </c>
      <c r="Y13" s="92">
        <f>2602-V13-W13-X13</f>
        <v>809</v>
      </c>
      <c r="Z13" s="92">
        <f t="shared" si="0"/>
        <v>2602</v>
      </c>
      <c r="AA13" s="574"/>
      <c r="AB13" s="92">
        <v>609</v>
      </c>
      <c r="AC13" s="92">
        <v>689</v>
      </c>
      <c r="AD13" s="92">
        <f>2047-609-689</f>
        <v>749</v>
      </c>
      <c r="AE13" s="92">
        <v>809</v>
      </c>
      <c r="AF13" s="416">
        <v>2856</v>
      </c>
    </row>
    <row r="14" spans="1:32" s="88" customFormat="1" ht="11.25">
      <c r="A14" s="82"/>
      <c r="B14" s="629" t="s">
        <v>48</v>
      </c>
      <c r="C14" s="84"/>
      <c r="D14" s="144">
        <v>-3664</v>
      </c>
      <c r="E14" s="86">
        <v>-3633</v>
      </c>
      <c r="F14" s="86">
        <v>-3926</v>
      </c>
      <c r="G14" s="86">
        <v>-4528</v>
      </c>
      <c r="H14" s="86">
        <v>-15751</v>
      </c>
      <c r="I14" s="573"/>
      <c r="J14" s="86">
        <v>-3709</v>
      </c>
      <c r="K14" s="86">
        <v>-3972</v>
      </c>
      <c r="L14" s="86">
        <v>-3928</v>
      </c>
      <c r="M14" s="86">
        <v>-6550</v>
      </c>
      <c r="N14" s="86">
        <v>-18159</v>
      </c>
      <c r="O14" s="573"/>
      <c r="P14" s="86">
        <v>-3138</v>
      </c>
      <c r="Q14" s="86">
        <v>-3566</v>
      </c>
      <c r="R14" s="86">
        <v>-3651</v>
      </c>
      <c r="S14" s="86">
        <v>-4887</v>
      </c>
      <c r="T14" s="86">
        <v>-15242</v>
      </c>
      <c r="U14" s="573"/>
      <c r="V14" s="86">
        <v>-3548</v>
      </c>
      <c r="W14" s="86">
        <f>-7215+3548</f>
        <v>-3667</v>
      </c>
      <c r="X14" s="86">
        <v>-3574</v>
      </c>
      <c r="Y14" s="86">
        <f>-15204-V14-W14-X14</f>
        <v>-4415</v>
      </c>
      <c r="Z14" s="86">
        <f t="shared" si="0"/>
        <v>-15204</v>
      </c>
      <c r="AA14" s="573"/>
      <c r="AB14" s="86">
        <v>-3318</v>
      </c>
      <c r="AC14" s="86">
        <v>-4113</v>
      </c>
      <c r="AD14" s="86">
        <v>-4371</v>
      </c>
      <c r="AE14" s="86">
        <v>-4753</v>
      </c>
      <c r="AF14" s="421">
        <v>-16555</v>
      </c>
    </row>
    <row r="15" spans="1:32" s="94" customFormat="1" ht="11.25">
      <c r="A15" s="89"/>
      <c r="B15" s="630" t="s">
        <v>49</v>
      </c>
      <c r="C15" s="82"/>
      <c r="D15" s="144">
        <f>D11+D14</f>
        <v>986</v>
      </c>
      <c r="E15" s="86">
        <f>E11+E14</f>
        <v>1245</v>
      </c>
      <c r="F15" s="86">
        <f>F11+F14</f>
        <v>1262</v>
      </c>
      <c r="G15" s="86">
        <f>G11+G14</f>
        <v>1248</v>
      </c>
      <c r="H15" s="86">
        <f>H11+H14</f>
        <v>4741</v>
      </c>
      <c r="I15" s="574"/>
      <c r="J15" s="86">
        <f>J11+J14</f>
        <v>1022</v>
      </c>
      <c r="K15" s="86">
        <f>K11+K14</f>
        <v>1357</v>
      </c>
      <c r="L15" s="86">
        <f>L11+L14</f>
        <v>872</v>
      </c>
      <c r="M15" s="86">
        <f>M11+M14</f>
        <v>-1402</v>
      </c>
      <c r="N15" s="86">
        <f>N11+N14</f>
        <v>1849</v>
      </c>
      <c r="O15" s="574"/>
      <c r="P15" s="86">
        <f aca="true" t="shared" si="1" ref="P15:Y15">P11+P14</f>
        <v>774</v>
      </c>
      <c r="Q15" s="86">
        <f t="shared" si="1"/>
        <v>978</v>
      </c>
      <c r="R15" s="86">
        <f t="shared" si="1"/>
        <v>1034</v>
      </c>
      <c r="S15" s="86">
        <f t="shared" si="1"/>
        <v>1128</v>
      </c>
      <c r="T15" s="86">
        <f t="shared" si="1"/>
        <v>3914</v>
      </c>
      <c r="U15" s="574"/>
      <c r="V15" s="86">
        <f t="shared" si="1"/>
        <v>1363</v>
      </c>
      <c r="W15" s="86">
        <f t="shared" si="1"/>
        <v>1135</v>
      </c>
      <c r="X15" s="86">
        <f t="shared" si="1"/>
        <v>1200</v>
      </c>
      <c r="Y15" s="86">
        <f t="shared" si="1"/>
        <v>1456</v>
      </c>
      <c r="Z15" s="86">
        <f>V15+W15+X15+Y15</f>
        <v>5154</v>
      </c>
      <c r="AA15" s="574"/>
      <c r="AB15" s="86">
        <v>948</v>
      </c>
      <c r="AC15" s="86">
        <v>1044</v>
      </c>
      <c r="AD15" s="86">
        <v>993</v>
      </c>
      <c r="AE15" s="86">
        <f>AE11+AE14</f>
        <v>986</v>
      </c>
      <c r="AF15" s="421">
        <f>AF11+AF14</f>
        <v>3971</v>
      </c>
    </row>
    <row r="16" spans="2:32" s="66" customFormat="1" ht="12" customHeight="1">
      <c r="B16" s="631" t="s">
        <v>50</v>
      </c>
      <c r="C16" s="95"/>
      <c r="D16" s="145">
        <v>-73</v>
      </c>
      <c r="E16" s="96">
        <v>-120</v>
      </c>
      <c r="F16" s="96">
        <v>-96</v>
      </c>
      <c r="G16" s="96">
        <v>-101</v>
      </c>
      <c r="H16" s="96">
        <v>-390</v>
      </c>
      <c r="I16" s="575"/>
      <c r="J16" s="96">
        <v>-93</v>
      </c>
      <c r="K16" s="96">
        <v>-70</v>
      </c>
      <c r="L16" s="96">
        <v>-143</v>
      </c>
      <c r="M16" s="96">
        <v>-107</v>
      </c>
      <c r="N16" s="96">
        <v>-413</v>
      </c>
      <c r="O16" s="575"/>
      <c r="P16" s="96">
        <v>-98</v>
      </c>
      <c r="Q16" s="96">
        <v>-94</v>
      </c>
      <c r="R16" s="96">
        <v>-104</v>
      </c>
      <c r="S16" s="96">
        <v>-114</v>
      </c>
      <c r="T16" s="96">
        <v>-410</v>
      </c>
      <c r="U16" s="575"/>
      <c r="V16" s="96">
        <v>-86</v>
      </c>
      <c r="W16" s="96">
        <f>-178+86</f>
        <v>-92</v>
      </c>
      <c r="X16" s="96">
        <v>-89</v>
      </c>
      <c r="Y16" s="96">
        <f>-371-V16-W16-X16</f>
        <v>-104</v>
      </c>
      <c r="Z16" s="96">
        <f t="shared" si="0"/>
        <v>-371</v>
      </c>
      <c r="AA16" s="575"/>
      <c r="AB16" s="96">
        <v>-82</v>
      </c>
      <c r="AC16" s="96">
        <v>-98</v>
      </c>
      <c r="AD16" s="96">
        <v>-92</v>
      </c>
      <c r="AE16" s="96">
        <v>-102</v>
      </c>
      <c r="AF16" s="416">
        <v>-374</v>
      </c>
    </row>
    <row r="17" spans="2:32" s="66" customFormat="1" ht="12" customHeight="1">
      <c r="B17" s="631" t="s">
        <v>51</v>
      </c>
      <c r="C17" s="95"/>
      <c r="D17" s="145">
        <v>-252</v>
      </c>
      <c r="E17" s="96">
        <v>-217</v>
      </c>
      <c r="F17" s="96">
        <v>-244</v>
      </c>
      <c r="G17" s="96">
        <v>-285</v>
      </c>
      <c r="H17" s="96">
        <v>-998</v>
      </c>
      <c r="I17" s="575"/>
      <c r="J17" s="96">
        <v>-206</v>
      </c>
      <c r="K17" s="96">
        <v>-244</v>
      </c>
      <c r="L17" s="96">
        <v>-221</v>
      </c>
      <c r="M17" s="96">
        <v>-259</v>
      </c>
      <c r="N17" s="96">
        <v>-930</v>
      </c>
      <c r="O17" s="575"/>
      <c r="P17" s="96">
        <v>-186</v>
      </c>
      <c r="Q17" s="96">
        <v>-256</v>
      </c>
      <c r="R17" s="96">
        <v>-235</v>
      </c>
      <c r="S17" s="96">
        <v>-283</v>
      </c>
      <c r="T17" s="96">
        <v>-960</v>
      </c>
      <c r="U17" s="575"/>
      <c r="V17" s="96">
        <v>-203</v>
      </c>
      <c r="W17" s="96">
        <f>-443+203</f>
        <v>-240</v>
      </c>
      <c r="X17" s="96">
        <v>-247</v>
      </c>
      <c r="Y17" s="96">
        <f>-972-V17-W17-X17</f>
        <v>-282</v>
      </c>
      <c r="Z17" s="96">
        <f t="shared" si="0"/>
        <v>-972</v>
      </c>
      <c r="AA17" s="575"/>
      <c r="AB17" s="96">
        <v>-207</v>
      </c>
      <c r="AC17" s="96">
        <v>-253</v>
      </c>
      <c r="AD17" s="96">
        <v>-254</v>
      </c>
      <c r="AE17" s="96">
        <v>-292</v>
      </c>
      <c r="AF17" s="416">
        <v>-1006</v>
      </c>
    </row>
    <row r="18" spans="1:32" s="94" customFormat="1" ht="11.25">
      <c r="A18" s="89"/>
      <c r="B18" s="630" t="s">
        <v>52</v>
      </c>
      <c r="C18" s="82"/>
      <c r="D18" s="144">
        <f>D15+D16+D17</f>
        <v>661</v>
      </c>
      <c r="E18" s="86">
        <f>E15+E16+E17</f>
        <v>908</v>
      </c>
      <c r="F18" s="86">
        <f>F15+F16+F17</f>
        <v>922</v>
      </c>
      <c r="G18" s="86">
        <f>G15+G16+G17</f>
        <v>862</v>
      </c>
      <c r="H18" s="86">
        <f>H15+H16+H17</f>
        <v>3353</v>
      </c>
      <c r="I18" s="574"/>
      <c r="J18" s="86">
        <f>J15+J16+J17</f>
        <v>723</v>
      </c>
      <c r="K18" s="86">
        <f>K15+K16+K17</f>
        <v>1043</v>
      </c>
      <c r="L18" s="86">
        <f>L15+L16+L17</f>
        <v>508</v>
      </c>
      <c r="M18" s="86">
        <f>M15+M16+M17</f>
        <v>-1768</v>
      </c>
      <c r="N18" s="86">
        <f>N15+N16+N17</f>
        <v>506</v>
      </c>
      <c r="O18" s="574"/>
      <c r="P18" s="86">
        <f aca="true" t="shared" si="2" ref="P18:Y18">P15+P16+P17</f>
        <v>490</v>
      </c>
      <c r="Q18" s="86">
        <f t="shared" si="2"/>
        <v>628</v>
      </c>
      <c r="R18" s="86">
        <f t="shared" si="2"/>
        <v>695</v>
      </c>
      <c r="S18" s="86">
        <f t="shared" si="2"/>
        <v>731</v>
      </c>
      <c r="T18" s="86">
        <f t="shared" si="2"/>
        <v>2544</v>
      </c>
      <c r="U18" s="574"/>
      <c r="V18" s="86">
        <f t="shared" si="2"/>
        <v>1074</v>
      </c>
      <c r="W18" s="86">
        <f t="shared" si="2"/>
        <v>803</v>
      </c>
      <c r="X18" s="86">
        <f t="shared" si="2"/>
        <v>864</v>
      </c>
      <c r="Y18" s="86">
        <f t="shared" si="2"/>
        <v>1070</v>
      </c>
      <c r="Z18" s="86">
        <f t="shared" si="0"/>
        <v>3811</v>
      </c>
      <c r="AA18" s="574"/>
      <c r="AB18" s="86">
        <f>AB15+AB16+AB17</f>
        <v>659</v>
      </c>
      <c r="AC18" s="86">
        <f>AC15+AC16+AC17</f>
        <v>693</v>
      </c>
      <c r="AD18" s="86">
        <f>AD15+AD16+AD17</f>
        <v>647</v>
      </c>
      <c r="AE18" s="86">
        <f>AE15+AE16+AE17</f>
        <v>592</v>
      </c>
      <c r="AF18" s="421">
        <f>AF15+AF16+AF17</f>
        <v>2591</v>
      </c>
    </row>
    <row r="19" spans="1:32" s="94" customFormat="1" ht="11.25">
      <c r="A19" s="89"/>
      <c r="B19" s="90" t="s">
        <v>12</v>
      </c>
      <c r="C19" s="91"/>
      <c r="D19" s="143">
        <f>3800-3024</f>
        <v>776</v>
      </c>
      <c r="E19" s="92">
        <f>-6127+7727-776</f>
        <v>824</v>
      </c>
      <c r="F19" s="92">
        <f>-9341+11843-776-824</f>
        <v>902</v>
      </c>
      <c r="G19" s="92">
        <v>1011</v>
      </c>
      <c r="H19" s="92">
        <v>3513</v>
      </c>
      <c r="I19" s="574"/>
      <c r="J19" s="92">
        <v>869</v>
      </c>
      <c r="K19" s="92">
        <v>1066</v>
      </c>
      <c r="L19" s="92">
        <v>662</v>
      </c>
      <c r="M19" s="92">
        <v>687</v>
      </c>
      <c r="N19" s="92">
        <v>3284</v>
      </c>
      <c r="O19" s="574"/>
      <c r="P19" s="92">
        <v>459</v>
      </c>
      <c r="Q19" s="92">
        <v>553</v>
      </c>
      <c r="R19" s="92">
        <v>682</v>
      </c>
      <c r="S19" s="92">
        <v>901</v>
      </c>
      <c r="T19" s="92">
        <v>2595</v>
      </c>
      <c r="U19" s="574"/>
      <c r="V19" s="92">
        <v>1065</v>
      </c>
      <c r="W19" s="92">
        <f>1735-1065</f>
        <v>670</v>
      </c>
      <c r="X19" s="92">
        <f>2447-1065-670</f>
        <v>712</v>
      </c>
      <c r="Y19" s="92">
        <f>1323-1065-670-712</f>
        <v>-1124</v>
      </c>
      <c r="Z19" s="92">
        <f t="shared" si="0"/>
        <v>1323</v>
      </c>
      <c r="AA19" s="574"/>
      <c r="AB19" s="92">
        <v>520</v>
      </c>
      <c r="AC19" s="92">
        <f>1166-520</f>
        <v>646</v>
      </c>
      <c r="AD19" s="320">
        <f>1768-520-646</f>
        <v>602</v>
      </c>
      <c r="AE19" s="92">
        <v>529</v>
      </c>
      <c r="AF19" s="416">
        <v>2297</v>
      </c>
    </row>
    <row r="20" spans="1:32" s="94" customFormat="1" ht="11.25">
      <c r="A20" s="89"/>
      <c r="B20" s="90" t="s">
        <v>13</v>
      </c>
      <c r="C20" s="91"/>
      <c r="D20" s="143">
        <f>-558+452</f>
        <v>-106</v>
      </c>
      <c r="E20" s="92">
        <f>-1055+996--106</f>
        <v>47</v>
      </c>
      <c r="F20" s="92">
        <f>-1726+1653--106-47</f>
        <v>-14</v>
      </c>
      <c r="G20" s="92">
        <v>-86</v>
      </c>
      <c r="H20" s="92">
        <v>-159</v>
      </c>
      <c r="I20" s="574"/>
      <c r="J20" s="92">
        <v>-164</v>
      </c>
      <c r="K20" s="92">
        <v>-62</v>
      </c>
      <c r="L20" s="92">
        <v>-173</v>
      </c>
      <c r="M20" s="92">
        <v>-2493</v>
      </c>
      <c r="N20" s="92">
        <v>-2892</v>
      </c>
      <c r="O20" s="574"/>
      <c r="P20" s="92">
        <v>11</v>
      </c>
      <c r="Q20" s="92">
        <v>13</v>
      </c>
      <c r="R20" s="92">
        <v>-4</v>
      </c>
      <c r="S20" s="92">
        <v>-191</v>
      </c>
      <c r="T20" s="92">
        <v>-171</v>
      </c>
      <c r="U20" s="574"/>
      <c r="V20" s="92">
        <v>-1</v>
      </c>
      <c r="W20" s="92">
        <f>101--1</f>
        <v>102</v>
      </c>
      <c r="X20" s="92">
        <f>217-102+1</f>
        <v>116</v>
      </c>
      <c r="Y20" s="92">
        <f>-561-102+1-116</f>
        <v>-778</v>
      </c>
      <c r="Z20" s="92">
        <f t="shared" si="0"/>
        <v>-561</v>
      </c>
      <c r="AA20" s="574"/>
      <c r="AB20" s="92">
        <v>124</v>
      </c>
      <c r="AC20" s="92">
        <f>160-124</f>
        <v>36</v>
      </c>
      <c r="AD20" s="320">
        <f>193-36-124</f>
        <v>33</v>
      </c>
      <c r="AE20" s="92">
        <v>68</v>
      </c>
      <c r="AF20" s="416">
        <v>261</v>
      </c>
    </row>
    <row r="21" spans="1:32" s="88" customFormat="1" ht="11.25">
      <c r="A21" s="82"/>
      <c r="B21" s="629" t="s">
        <v>53</v>
      </c>
      <c r="C21" s="84"/>
      <c r="D21" s="144">
        <f>SUM(D22:D25)</f>
        <v>60</v>
      </c>
      <c r="E21" s="86">
        <f>SUM(E22:E25)</f>
        <v>66</v>
      </c>
      <c r="F21" s="86">
        <f>SUM(F22:F25)</f>
        <v>74</v>
      </c>
      <c r="G21" s="86">
        <f>SUM(G22:G25)</f>
        <v>-185</v>
      </c>
      <c r="H21" s="86">
        <f>SUM(H22:H25)</f>
        <v>15</v>
      </c>
      <c r="I21" s="573"/>
      <c r="J21" s="86">
        <f>SUM(J22:J25)</f>
        <v>82</v>
      </c>
      <c r="K21" s="86">
        <f>SUM(K22:K25)</f>
        <v>94</v>
      </c>
      <c r="L21" s="86">
        <f>SUM(L22:L25)</f>
        <v>-170</v>
      </c>
      <c r="M21" s="86">
        <f>SUM(M22:M25)</f>
        <v>-4668</v>
      </c>
      <c r="N21" s="86">
        <f>SUM(N22:N25)</f>
        <v>-4662</v>
      </c>
      <c r="O21" s="573"/>
      <c r="P21" s="86">
        <f aca="true" t="shared" si="3" ref="P21:Y21">SUM(P22:P25)</f>
        <v>-68</v>
      </c>
      <c r="Q21" s="86">
        <f t="shared" si="3"/>
        <v>-102</v>
      </c>
      <c r="R21" s="86">
        <f t="shared" si="3"/>
        <v>-192</v>
      </c>
      <c r="S21" s="86">
        <f t="shared" si="3"/>
        <v>-4599</v>
      </c>
      <c r="T21" s="86">
        <f t="shared" si="3"/>
        <v>-4961</v>
      </c>
      <c r="U21" s="573"/>
      <c r="V21" s="86">
        <f t="shared" si="3"/>
        <v>82</v>
      </c>
      <c r="W21" s="86">
        <f t="shared" si="3"/>
        <v>-136</v>
      </c>
      <c r="X21" s="86">
        <f t="shared" si="3"/>
        <v>79</v>
      </c>
      <c r="Y21" s="86">
        <f t="shared" si="3"/>
        <v>-180</v>
      </c>
      <c r="Z21" s="86">
        <f t="shared" si="0"/>
        <v>-155</v>
      </c>
      <c r="AA21" s="573"/>
      <c r="AB21" s="86">
        <v>81</v>
      </c>
      <c r="AC21" s="86">
        <f>SUM(AC22:AC25)</f>
        <v>-209</v>
      </c>
      <c r="AD21" s="86">
        <f>SUM(AD22:AD25)</f>
        <v>62</v>
      </c>
      <c r="AE21" s="86">
        <f>SUM(AE22:AE25)</f>
        <v>394</v>
      </c>
      <c r="AF21" s="421">
        <f>AF22+AF23+AF24+AF25</f>
        <v>328</v>
      </c>
    </row>
    <row r="22" spans="1:32" s="99" customFormat="1" ht="22.5">
      <c r="A22" s="89"/>
      <c r="B22" s="632" t="s">
        <v>54</v>
      </c>
      <c r="C22" s="98"/>
      <c r="D22" s="143">
        <v>0</v>
      </c>
      <c r="E22" s="92">
        <v>0</v>
      </c>
      <c r="F22" s="92">
        <v>-1</v>
      </c>
      <c r="G22" s="92">
        <v>-251</v>
      </c>
      <c r="H22" s="92">
        <v>-252</v>
      </c>
      <c r="I22" s="576"/>
      <c r="J22" s="92">
        <v>0</v>
      </c>
      <c r="K22" s="92">
        <v>-1</v>
      </c>
      <c r="L22" s="92">
        <v>-312</v>
      </c>
      <c r="M22" s="92">
        <f>N22-SUM(J22:L22)</f>
        <v>-4144</v>
      </c>
      <c r="N22" s="92">
        <v>-4457</v>
      </c>
      <c r="O22" s="576"/>
      <c r="P22" s="92">
        <v>-221</v>
      </c>
      <c r="Q22" s="92">
        <v>-255</v>
      </c>
      <c r="R22" s="92">
        <v>-351</v>
      </c>
      <c r="S22" s="92">
        <v>-373</v>
      </c>
      <c r="T22" s="92">
        <v>-1200</v>
      </c>
      <c r="U22" s="576"/>
      <c r="V22" s="92">
        <v>0</v>
      </c>
      <c r="W22" s="92">
        <v>-215</v>
      </c>
      <c r="X22" s="92">
        <v>0</v>
      </c>
      <c r="Y22" s="92">
        <f>-474+215</f>
        <v>-259</v>
      </c>
      <c r="Z22" s="92">
        <f t="shared" si="0"/>
        <v>-474</v>
      </c>
      <c r="AA22" s="576"/>
      <c r="AB22" s="92">
        <v>0</v>
      </c>
      <c r="AC22" s="92">
        <v>-254</v>
      </c>
      <c r="AD22" s="92">
        <v>-4</v>
      </c>
      <c r="AE22" s="92">
        <v>-404</v>
      </c>
      <c r="AF22" s="416">
        <v>-662</v>
      </c>
    </row>
    <row r="23" spans="1:32" s="99" customFormat="1" ht="11.25">
      <c r="A23" s="100"/>
      <c r="B23" s="633" t="s">
        <v>58</v>
      </c>
      <c r="C23" s="101"/>
      <c r="D23" s="143">
        <v>0</v>
      </c>
      <c r="E23" s="92">
        <v>0</v>
      </c>
      <c r="F23" s="92">
        <v>0</v>
      </c>
      <c r="G23" s="92">
        <v>-15</v>
      </c>
      <c r="H23" s="92">
        <v>-15</v>
      </c>
      <c r="I23" s="576"/>
      <c r="J23" s="92">
        <v>0</v>
      </c>
      <c r="K23" s="92">
        <v>0</v>
      </c>
      <c r="L23" s="92">
        <v>0</v>
      </c>
      <c r="M23" s="92">
        <f>N23-SUM(J23:L23)</f>
        <v>-671</v>
      </c>
      <c r="N23" s="92">
        <v>-671</v>
      </c>
      <c r="O23" s="576"/>
      <c r="P23" s="92">
        <v>0</v>
      </c>
      <c r="Q23" s="92">
        <v>0</v>
      </c>
      <c r="R23" s="92">
        <v>0</v>
      </c>
      <c r="S23" s="92">
        <v>0</v>
      </c>
      <c r="T23" s="92">
        <v>0</v>
      </c>
      <c r="U23" s="576"/>
      <c r="V23" s="92">
        <v>0</v>
      </c>
      <c r="W23" s="92">
        <v>0</v>
      </c>
      <c r="X23" s="92">
        <v>0</v>
      </c>
      <c r="Y23" s="92">
        <v>0</v>
      </c>
      <c r="Z23" s="92">
        <f t="shared" si="0"/>
        <v>0</v>
      </c>
      <c r="AA23" s="576"/>
      <c r="AB23" s="92">
        <v>0</v>
      </c>
      <c r="AC23" s="92">
        <v>0</v>
      </c>
      <c r="AD23" s="92">
        <v>0</v>
      </c>
      <c r="AE23" s="92">
        <v>0</v>
      </c>
      <c r="AF23" s="416">
        <v>0</v>
      </c>
    </row>
    <row r="24" spans="1:32" s="99" customFormat="1" ht="22.5">
      <c r="A24" s="100"/>
      <c r="B24" s="633" t="s">
        <v>57</v>
      </c>
      <c r="C24" s="101"/>
      <c r="D24" s="143">
        <v>0</v>
      </c>
      <c r="E24" s="92">
        <v>0</v>
      </c>
      <c r="F24" s="92">
        <v>0</v>
      </c>
      <c r="G24" s="92">
        <v>0</v>
      </c>
      <c r="H24" s="92">
        <v>0</v>
      </c>
      <c r="I24" s="576"/>
      <c r="J24" s="92">
        <v>0</v>
      </c>
      <c r="K24" s="92">
        <v>0</v>
      </c>
      <c r="L24" s="92">
        <v>0</v>
      </c>
      <c r="M24" s="92">
        <f>N24-SUM(J24:L24)</f>
        <v>0</v>
      </c>
      <c r="N24" s="92">
        <v>0</v>
      </c>
      <c r="O24" s="576"/>
      <c r="P24" s="92">
        <v>0</v>
      </c>
      <c r="Q24" s="92">
        <v>0</v>
      </c>
      <c r="R24" s="92">
        <v>0</v>
      </c>
      <c r="S24" s="92">
        <v>-4394</v>
      </c>
      <c r="T24" s="92">
        <v>-4394</v>
      </c>
      <c r="U24" s="576"/>
      <c r="V24" s="92">
        <v>0</v>
      </c>
      <c r="W24" s="92">
        <v>0</v>
      </c>
      <c r="X24" s="92">
        <v>0</v>
      </c>
      <c r="Y24" s="92">
        <v>0</v>
      </c>
      <c r="Z24" s="92">
        <f t="shared" si="0"/>
        <v>0</v>
      </c>
      <c r="AA24" s="576"/>
      <c r="AB24" s="92">
        <v>0</v>
      </c>
      <c r="AC24" s="92">
        <v>0</v>
      </c>
      <c r="AD24" s="92">
        <v>0</v>
      </c>
      <c r="AE24" s="92">
        <v>733</v>
      </c>
      <c r="AF24" s="416">
        <v>733</v>
      </c>
    </row>
    <row r="25" spans="1:32" s="94" customFormat="1" ht="11.25">
      <c r="A25" s="89"/>
      <c r="B25" s="634" t="s">
        <v>59</v>
      </c>
      <c r="C25" s="32"/>
      <c r="D25" s="143">
        <v>60</v>
      </c>
      <c r="E25" s="92">
        <v>66</v>
      </c>
      <c r="F25" s="92">
        <v>75</v>
      </c>
      <c r="G25" s="92">
        <v>81</v>
      </c>
      <c r="H25" s="92">
        <v>282</v>
      </c>
      <c r="I25" s="574"/>
      <c r="J25" s="92">
        <v>82</v>
      </c>
      <c r="K25" s="92">
        <v>95</v>
      </c>
      <c r="L25" s="92">
        <v>142</v>
      </c>
      <c r="M25" s="92">
        <f>N25-SUM(J25:L25)</f>
        <v>147</v>
      </c>
      <c r="N25" s="92">
        <v>466</v>
      </c>
      <c r="O25" s="574"/>
      <c r="P25" s="92">
        <v>153</v>
      </c>
      <c r="Q25" s="92">
        <v>153</v>
      </c>
      <c r="R25" s="92">
        <v>159</v>
      </c>
      <c r="S25" s="92">
        <v>168</v>
      </c>
      <c r="T25" s="92">
        <v>633</v>
      </c>
      <c r="U25" s="574"/>
      <c r="V25" s="92">
        <v>82</v>
      </c>
      <c r="W25" s="92">
        <v>79</v>
      </c>
      <c r="X25" s="92">
        <v>79</v>
      </c>
      <c r="Y25" s="92">
        <f>319-V25-W25-X25</f>
        <v>79</v>
      </c>
      <c r="Z25" s="92">
        <f t="shared" si="0"/>
        <v>319</v>
      </c>
      <c r="AA25" s="574"/>
      <c r="AB25" s="92">
        <v>81</v>
      </c>
      <c r="AC25" s="92">
        <v>45</v>
      </c>
      <c r="AD25" s="92">
        <v>66</v>
      </c>
      <c r="AE25" s="92">
        <v>65</v>
      </c>
      <c r="AF25" s="416">
        <v>257</v>
      </c>
    </row>
    <row r="26" spans="1:32" s="88" customFormat="1" ht="11.25">
      <c r="A26" s="82"/>
      <c r="B26" s="629" t="s">
        <v>60</v>
      </c>
      <c r="C26" s="84"/>
      <c r="D26" s="144">
        <f>SUM(D27:D30)</f>
        <v>-47</v>
      </c>
      <c r="E26" s="86">
        <f>SUM(E27:E30)</f>
        <v>-5</v>
      </c>
      <c r="F26" s="86">
        <f>SUM(F27:F30)</f>
        <v>73</v>
      </c>
      <c r="G26" s="86">
        <f>SUM(G27:G30)</f>
        <v>35</v>
      </c>
      <c r="H26" s="86">
        <f>SUM(H27:H30)</f>
        <v>56</v>
      </c>
      <c r="I26" s="573"/>
      <c r="J26" s="86">
        <f>SUM(J27:J30)</f>
        <v>-92</v>
      </c>
      <c r="K26" s="86">
        <f>SUM(K27:K30)</f>
        <v>14</v>
      </c>
      <c r="L26" s="86">
        <f>SUM(L27:L30)</f>
        <v>-138</v>
      </c>
      <c r="M26" s="86">
        <f>SUM(M27:M30)</f>
        <v>-444</v>
      </c>
      <c r="N26" s="86">
        <f>SUM(N27:N30)</f>
        <v>-660</v>
      </c>
      <c r="O26" s="573"/>
      <c r="P26" s="86">
        <f aca="true" t="shared" si="4" ref="P26:Y26">SUM(P27:P30)</f>
        <v>-309</v>
      </c>
      <c r="Q26" s="86">
        <f t="shared" si="4"/>
        <v>203</v>
      </c>
      <c r="R26" s="86">
        <f t="shared" si="4"/>
        <v>-164</v>
      </c>
      <c r="S26" s="86">
        <f t="shared" si="4"/>
        <v>-532</v>
      </c>
      <c r="T26" s="86">
        <f t="shared" si="4"/>
        <v>-802</v>
      </c>
      <c r="U26" s="573"/>
      <c r="V26" s="86">
        <f t="shared" si="4"/>
        <v>-426</v>
      </c>
      <c r="W26" s="86">
        <f t="shared" si="4"/>
        <v>-432</v>
      </c>
      <c r="X26" s="86">
        <f t="shared" si="4"/>
        <v>-204</v>
      </c>
      <c r="Y26" s="86">
        <f t="shared" si="4"/>
        <v>-1315</v>
      </c>
      <c r="Z26" s="86">
        <f t="shared" si="0"/>
        <v>-2377</v>
      </c>
      <c r="AA26" s="573"/>
      <c r="AB26" s="86">
        <v>-191</v>
      </c>
      <c r="AC26" s="86">
        <v>554</v>
      </c>
      <c r="AD26" s="86">
        <v>-184</v>
      </c>
      <c r="AE26" s="86">
        <f>SUM(AE27:AE30)</f>
        <v>129</v>
      </c>
      <c r="AF26" s="421">
        <f>SUM(AF27:AF30)</f>
        <v>308</v>
      </c>
    </row>
    <row r="27" spans="1:32" s="94" customFormat="1" ht="11.25">
      <c r="A27" s="89"/>
      <c r="B27" s="102" t="s">
        <v>61</v>
      </c>
      <c r="C27" s="32"/>
      <c r="D27" s="143">
        <v>-1</v>
      </c>
      <c r="E27" s="92">
        <v>0</v>
      </c>
      <c r="F27" s="92">
        <v>-1</v>
      </c>
      <c r="G27" s="92">
        <v>-5</v>
      </c>
      <c r="H27" s="92">
        <v>-7</v>
      </c>
      <c r="I27" s="574"/>
      <c r="J27" s="92">
        <v>0</v>
      </c>
      <c r="K27" s="92">
        <f>-1</f>
        <v>-1</v>
      </c>
      <c r="L27" s="92">
        <f>-183</f>
        <v>-183</v>
      </c>
      <c r="M27" s="92">
        <f>-373</f>
        <v>-373</v>
      </c>
      <c r="N27" s="92">
        <v>-557</v>
      </c>
      <c r="O27" s="574"/>
      <c r="P27" s="92">
        <v>-57</v>
      </c>
      <c r="Q27" s="92">
        <v>0</v>
      </c>
      <c r="R27" s="92">
        <v>0</v>
      </c>
      <c r="S27" s="92">
        <f>-1209</f>
        <v>-1209</v>
      </c>
      <c r="T27" s="92">
        <v>-1266</v>
      </c>
      <c r="U27" s="574"/>
      <c r="V27" s="92">
        <v>0</v>
      </c>
      <c r="W27" s="92">
        <v>0</v>
      </c>
      <c r="X27" s="92">
        <v>-1</v>
      </c>
      <c r="Y27" s="92">
        <v>-772</v>
      </c>
      <c r="Z27" s="92">
        <f t="shared" si="0"/>
        <v>-773</v>
      </c>
      <c r="AA27" s="574"/>
      <c r="AB27" s="92">
        <v>-10</v>
      </c>
      <c r="AC27" s="92">
        <v>-4</v>
      </c>
      <c r="AD27" s="92">
        <v>0</v>
      </c>
      <c r="AE27" s="92">
        <v>-46</v>
      </c>
      <c r="AF27" s="416">
        <v>-60</v>
      </c>
    </row>
    <row r="28" spans="1:32" s="94" customFormat="1" ht="22.5">
      <c r="A28" s="89"/>
      <c r="B28" s="634" t="s">
        <v>62</v>
      </c>
      <c r="C28" s="32"/>
      <c r="D28" s="143">
        <v>-9</v>
      </c>
      <c r="E28" s="92">
        <v>3</v>
      </c>
      <c r="F28" s="92">
        <v>55</v>
      </c>
      <c r="G28" s="92">
        <v>97</v>
      </c>
      <c r="H28" s="92">
        <v>146</v>
      </c>
      <c r="I28" s="574"/>
      <c r="J28" s="92">
        <v>134</v>
      </c>
      <c r="K28" s="92">
        <v>-99</v>
      </c>
      <c r="L28" s="92">
        <v>2</v>
      </c>
      <c r="M28" s="92">
        <v>106</v>
      </c>
      <c r="N28" s="92">
        <v>143</v>
      </c>
      <c r="O28" s="574"/>
      <c r="P28" s="92">
        <v>-298</v>
      </c>
      <c r="Q28" s="92">
        <v>408</v>
      </c>
      <c r="R28" s="92">
        <v>-265</v>
      </c>
      <c r="S28" s="92">
        <v>666</v>
      </c>
      <c r="T28" s="92">
        <v>511</v>
      </c>
      <c r="U28" s="574"/>
      <c r="V28" s="320">
        <f>-815+312</f>
        <v>-503</v>
      </c>
      <c r="W28" s="320">
        <f>-794+336</f>
        <v>-458</v>
      </c>
      <c r="X28" s="320">
        <v>-115</v>
      </c>
      <c r="Y28" s="320">
        <f>-1466+503+458+115</f>
        <v>-390</v>
      </c>
      <c r="Z28" s="320">
        <f t="shared" si="0"/>
        <v>-1466</v>
      </c>
      <c r="AA28" s="574"/>
      <c r="AB28" s="320">
        <v>-183</v>
      </c>
      <c r="AC28" s="320">
        <v>720</v>
      </c>
      <c r="AD28" s="320">
        <v>-159</v>
      </c>
      <c r="AE28" s="92">
        <v>215</v>
      </c>
      <c r="AF28" s="416">
        <v>593</v>
      </c>
    </row>
    <row r="29" spans="1:32" s="94" customFormat="1" ht="11.25">
      <c r="A29" s="89"/>
      <c r="B29" s="634" t="s">
        <v>63</v>
      </c>
      <c r="C29" s="32"/>
      <c r="D29" s="143">
        <v>-67</v>
      </c>
      <c r="E29" s="92">
        <v>-37</v>
      </c>
      <c r="F29" s="92">
        <v>-4</v>
      </c>
      <c r="G29" s="92">
        <v>-64</v>
      </c>
      <c r="H29" s="92">
        <v>-172</v>
      </c>
      <c r="I29" s="574"/>
      <c r="J29" s="92">
        <v>-233</v>
      </c>
      <c r="K29" s="92">
        <v>60</v>
      </c>
      <c r="L29" s="92">
        <v>52</v>
      </c>
      <c r="M29" s="92">
        <v>-119</v>
      </c>
      <c r="N29" s="92">
        <v>-240</v>
      </c>
      <c r="O29" s="574"/>
      <c r="P29" s="92">
        <v>52</v>
      </c>
      <c r="Q29" s="92">
        <v>-221</v>
      </c>
      <c r="R29" s="92">
        <v>86</v>
      </c>
      <c r="S29" s="92">
        <v>-121</v>
      </c>
      <c r="T29" s="92">
        <v>-204</v>
      </c>
      <c r="U29" s="574"/>
      <c r="V29" s="320">
        <f>156-86</f>
        <v>70</v>
      </c>
      <c r="W29" s="320">
        <f>75-71</f>
        <v>4</v>
      </c>
      <c r="X29" s="320">
        <v>-120</v>
      </c>
      <c r="Y29" s="320">
        <f>-261-70-4+120</f>
        <v>-215</v>
      </c>
      <c r="Z29" s="320">
        <f t="shared" si="0"/>
        <v>-261</v>
      </c>
      <c r="AA29" s="574"/>
      <c r="AB29" s="320">
        <v>-2</v>
      </c>
      <c r="AC29" s="320">
        <v>2</v>
      </c>
      <c r="AD29" s="320">
        <f>-78+25</f>
        <v>-53</v>
      </c>
      <c r="AE29" s="92">
        <v>-36</v>
      </c>
      <c r="AF29" s="416">
        <f>216-305</f>
        <v>-89</v>
      </c>
    </row>
    <row r="30" spans="1:32" s="94" customFormat="1" ht="11.25">
      <c r="A30" s="89"/>
      <c r="B30" s="97" t="s">
        <v>55</v>
      </c>
      <c r="C30" s="32"/>
      <c r="D30" s="143">
        <v>30</v>
      </c>
      <c r="E30" s="92">
        <v>29</v>
      </c>
      <c r="F30" s="92">
        <v>23</v>
      </c>
      <c r="G30" s="92">
        <v>7</v>
      </c>
      <c r="H30" s="92">
        <v>89</v>
      </c>
      <c r="I30" s="574"/>
      <c r="J30" s="92">
        <v>7</v>
      </c>
      <c r="K30" s="92">
        <v>54</v>
      </c>
      <c r="L30" s="92">
        <v>-9</v>
      </c>
      <c r="M30" s="92">
        <f>-58</f>
        <v>-58</v>
      </c>
      <c r="N30" s="92">
        <v>-6</v>
      </c>
      <c r="O30" s="574">
        <v>0</v>
      </c>
      <c r="P30" s="92">
        <v>-6</v>
      </c>
      <c r="Q30" s="92">
        <v>16</v>
      </c>
      <c r="R30" s="92">
        <f>15</f>
        <v>15</v>
      </c>
      <c r="S30" s="92">
        <f>-53+185</f>
        <v>132</v>
      </c>
      <c r="T30" s="92">
        <v>157</v>
      </c>
      <c r="U30" s="574"/>
      <c r="V30" s="320">
        <f>59-52</f>
        <v>7</v>
      </c>
      <c r="W30" s="320">
        <f>44-22</f>
        <v>22</v>
      </c>
      <c r="X30" s="320">
        <v>32</v>
      </c>
      <c r="Y30" s="320">
        <v>62</v>
      </c>
      <c r="Z30" s="320">
        <f t="shared" si="0"/>
        <v>123</v>
      </c>
      <c r="AA30" s="574"/>
      <c r="AB30" s="320">
        <v>4</v>
      </c>
      <c r="AC30" s="320">
        <v>-164</v>
      </c>
      <c r="AD30" s="320">
        <f>2+54-3-3-22</f>
        <v>28</v>
      </c>
      <c r="AE30" s="92">
        <v>-4</v>
      </c>
      <c r="AF30" s="416">
        <v>-136</v>
      </c>
    </row>
    <row r="31" spans="1:32" s="88" customFormat="1" ht="11.25">
      <c r="A31" s="82"/>
      <c r="B31" s="629" t="s">
        <v>64</v>
      </c>
      <c r="C31" s="84"/>
      <c r="D31" s="144">
        <f>SUM(D32:D35)</f>
        <v>-49</v>
      </c>
      <c r="E31" s="86">
        <f>SUM(E32:E35)</f>
        <v>-50</v>
      </c>
      <c r="F31" s="86">
        <f>SUM(F32:F35)</f>
        <v>-128</v>
      </c>
      <c r="G31" s="86">
        <f>SUM(G32:G35)</f>
        <v>-99</v>
      </c>
      <c r="H31" s="86">
        <f>SUM(H32:H35)</f>
        <v>-326</v>
      </c>
      <c r="I31" s="573"/>
      <c r="J31" s="86">
        <f>SUM(J32:J35)</f>
        <v>-136</v>
      </c>
      <c r="K31" s="86">
        <f>SUM(K32:K35)</f>
        <v>-35</v>
      </c>
      <c r="L31" s="86">
        <f>SUM(L32:L35)</f>
        <v>-53</v>
      </c>
      <c r="M31" s="86">
        <f>SUM(M32:M35)</f>
        <v>-82</v>
      </c>
      <c r="N31" s="86">
        <f>SUM(N32:N35)</f>
        <v>-306</v>
      </c>
      <c r="O31" s="573"/>
      <c r="P31" s="86">
        <f>SUM(P32:P35)</f>
        <v>230</v>
      </c>
      <c r="Q31" s="86">
        <v>-389</v>
      </c>
      <c r="R31" s="86">
        <v>192</v>
      </c>
      <c r="S31" s="86">
        <f aca="true" t="shared" si="5" ref="S31:Y31">SUM(S32:S35)</f>
        <v>-615</v>
      </c>
      <c r="T31" s="86">
        <f t="shared" si="5"/>
        <v>-582</v>
      </c>
      <c r="U31" s="573"/>
      <c r="V31" s="86">
        <f t="shared" si="5"/>
        <v>301</v>
      </c>
      <c r="W31" s="86">
        <f t="shared" si="5"/>
        <v>383</v>
      </c>
      <c r="X31" s="86">
        <f t="shared" si="5"/>
        <v>48</v>
      </c>
      <c r="Y31" s="86">
        <f t="shared" si="5"/>
        <v>288</v>
      </c>
      <c r="Z31" s="86">
        <f t="shared" si="0"/>
        <v>1020</v>
      </c>
      <c r="AA31" s="573"/>
      <c r="AB31" s="86">
        <v>112</v>
      </c>
      <c r="AC31" s="86">
        <v>-715</v>
      </c>
      <c r="AD31" s="86">
        <v>83</v>
      </c>
      <c r="AE31" s="86">
        <f>SUM(AE32:AE35)</f>
        <v>-241</v>
      </c>
      <c r="AF31" s="421">
        <f>SUM(AF32:AF35)</f>
        <v>-761</v>
      </c>
    </row>
    <row r="32" spans="1:32" s="94" customFormat="1" ht="11.25">
      <c r="A32" s="89"/>
      <c r="B32" s="634" t="s">
        <v>65</v>
      </c>
      <c r="C32" s="32"/>
      <c r="D32" s="143">
        <v>0</v>
      </c>
      <c r="E32" s="92">
        <v>0</v>
      </c>
      <c r="F32" s="92">
        <v>0</v>
      </c>
      <c r="G32" s="92">
        <v>0</v>
      </c>
      <c r="H32" s="92">
        <v>0</v>
      </c>
      <c r="I32" s="574"/>
      <c r="J32" s="92">
        <v>0</v>
      </c>
      <c r="K32" s="92">
        <v>-2</v>
      </c>
      <c r="L32" s="92">
        <v>-11</v>
      </c>
      <c r="M32" s="92">
        <v>1</v>
      </c>
      <c r="N32" s="92">
        <v>-12</v>
      </c>
      <c r="O32" s="574"/>
      <c r="P32" s="92">
        <v>-8</v>
      </c>
      <c r="Q32" s="92">
        <v>-2</v>
      </c>
      <c r="R32" s="92">
        <v>-1</v>
      </c>
      <c r="S32" s="92">
        <v>28</v>
      </c>
      <c r="T32" s="92">
        <f>26-9</f>
        <v>17</v>
      </c>
      <c r="U32" s="574"/>
      <c r="V32" s="320">
        <v>-13</v>
      </c>
      <c r="W32" s="320">
        <v>-14</v>
      </c>
      <c r="X32" s="320">
        <v>-3</v>
      </c>
      <c r="Y32" s="320">
        <v>0</v>
      </c>
      <c r="Z32" s="320">
        <f t="shared" si="0"/>
        <v>-30</v>
      </c>
      <c r="AA32" s="574"/>
      <c r="AB32" s="320">
        <v>15</v>
      </c>
      <c r="AC32" s="320">
        <v>11</v>
      </c>
      <c r="AD32" s="320">
        <v>2</v>
      </c>
      <c r="AE32" s="320">
        <v>-17</v>
      </c>
      <c r="AF32" s="416">
        <v>11</v>
      </c>
    </row>
    <row r="33" spans="1:32" s="94" customFormat="1" ht="11.25">
      <c r="A33" s="89"/>
      <c r="B33" s="634" t="s">
        <v>66</v>
      </c>
      <c r="C33" s="32"/>
      <c r="D33" s="143">
        <v>-37</v>
      </c>
      <c r="E33" s="92">
        <v>-40</v>
      </c>
      <c r="F33" s="92">
        <v>-40</v>
      </c>
      <c r="G33" s="92">
        <v>-6</v>
      </c>
      <c r="H33" s="92">
        <v>-123</v>
      </c>
      <c r="I33" s="574"/>
      <c r="J33" s="92">
        <v>-49</v>
      </c>
      <c r="K33" s="92">
        <v>-78</v>
      </c>
      <c r="L33" s="92">
        <v>-11</v>
      </c>
      <c r="M33" s="92">
        <v>-18</v>
      </c>
      <c r="N33" s="92">
        <v>-156</v>
      </c>
      <c r="O33" s="574"/>
      <c r="P33" s="92">
        <v>-15</v>
      </c>
      <c r="Q33" s="92">
        <v>-16</v>
      </c>
      <c r="R33" s="92">
        <v>-18</v>
      </c>
      <c r="S33" s="92">
        <v>-36</v>
      </c>
      <c r="T33" s="92">
        <v>-85</v>
      </c>
      <c r="U33" s="574"/>
      <c r="V33" s="320">
        <v>-32</v>
      </c>
      <c r="W33" s="320">
        <v>-21</v>
      </c>
      <c r="X33" s="320">
        <v>-22</v>
      </c>
      <c r="Y33" s="320">
        <f>-96+32+21+22</f>
        <v>-21</v>
      </c>
      <c r="Z33" s="320">
        <f t="shared" si="0"/>
        <v>-96</v>
      </c>
      <c r="AA33" s="574"/>
      <c r="AB33" s="320">
        <v>-25</v>
      </c>
      <c r="AC33" s="320">
        <v>-27</v>
      </c>
      <c r="AD33" s="320">
        <v>-40</v>
      </c>
      <c r="AE33" s="320">
        <v>-1</v>
      </c>
      <c r="AF33" s="416">
        <v>-93</v>
      </c>
    </row>
    <row r="34" spans="1:32" s="94" customFormat="1" ht="11.25">
      <c r="A34" s="89"/>
      <c r="B34" s="634" t="s">
        <v>67</v>
      </c>
      <c r="C34" s="32"/>
      <c r="D34" s="143">
        <v>5</v>
      </c>
      <c r="E34" s="92">
        <v>3</v>
      </c>
      <c r="F34" s="92">
        <v>-70</v>
      </c>
      <c r="G34" s="92">
        <v>-64</v>
      </c>
      <c r="H34" s="92">
        <v>-126</v>
      </c>
      <c r="I34" s="574"/>
      <c r="J34" s="92">
        <v>-59</v>
      </c>
      <c r="K34" s="92">
        <v>72</v>
      </c>
      <c r="L34" s="92">
        <v>2</v>
      </c>
      <c r="M34" s="92">
        <v>-44</v>
      </c>
      <c r="N34" s="92">
        <v>-29</v>
      </c>
      <c r="O34" s="574"/>
      <c r="P34" s="92">
        <v>276</v>
      </c>
      <c r="Q34" s="92">
        <v>-346</v>
      </c>
      <c r="R34" s="92">
        <f>70+177</f>
        <v>247</v>
      </c>
      <c r="S34" s="92">
        <v>-578</v>
      </c>
      <c r="T34" s="92">
        <v>-401</v>
      </c>
      <c r="U34" s="574"/>
      <c r="V34" s="320">
        <v>372</v>
      </c>
      <c r="W34" s="320">
        <f>443</f>
        <v>443</v>
      </c>
      <c r="X34" s="320">
        <v>100</v>
      </c>
      <c r="Y34" s="320">
        <f>1251-372-443-100</f>
        <v>336</v>
      </c>
      <c r="Z34" s="320">
        <f t="shared" si="0"/>
        <v>1251</v>
      </c>
      <c r="AA34" s="574"/>
      <c r="AB34" s="320">
        <v>149</v>
      </c>
      <c r="AC34" s="320">
        <v>-682</v>
      </c>
      <c r="AD34" s="320">
        <v>146</v>
      </c>
      <c r="AE34" s="320">
        <v>-206</v>
      </c>
      <c r="AF34" s="416">
        <v>-593</v>
      </c>
    </row>
    <row r="35" spans="1:32" s="94" customFormat="1" ht="11.25">
      <c r="A35" s="89"/>
      <c r="B35" s="97" t="s">
        <v>56</v>
      </c>
      <c r="C35" s="32"/>
      <c r="D35" s="143">
        <v>-17</v>
      </c>
      <c r="E35" s="92">
        <v>-13</v>
      </c>
      <c r="F35" s="92">
        <v>-18</v>
      </c>
      <c r="G35" s="92">
        <v>-29</v>
      </c>
      <c r="H35" s="92">
        <v>-77</v>
      </c>
      <c r="I35" s="574"/>
      <c r="J35" s="92">
        <v>-28</v>
      </c>
      <c r="K35" s="92">
        <v>-27</v>
      </c>
      <c r="L35" s="92">
        <v>-33</v>
      </c>
      <c r="M35" s="92">
        <v>-21</v>
      </c>
      <c r="N35" s="92">
        <v>-109</v>
      </c>
      <c r="O35" s="574"/>
      <c r="P35" s="92">
        <f>-31+8</f>
        <v>-23</v>
      </c>
      <c r="Q35" s="92">
        <f>-27+2</f>
        <v>-25</v>
      </c>
      <c r="R35" s="92">
        <v>-36</v>
      </c>
      <c r="S35" s="92">
        <v>-29</v>
      </c>
      <c r="T35" s="92">
        <v>-113</v>
      </c>
      <c r="U35" s="574"/>
      <c r="V35" s="320">
        <v>-26</v>
      </c>
      <c r="W35" s="320">
        <v>-25</v>
      </c>
      <c r="X35" s="320">
        <v>-27</v>
      </c>
      <c r="Y35" s="320">
        <v>-27</v>
      </c>
      <c r="Z35" s="320">
        <f t="shared" si="0"/>
        <v>-105</v>
      </c>
      <c r="AA35" s="574"/>
      <c r="AB35" s="320">
        <v>-27</v>
      </c>
      <c r="AC35" s="320">
        <v>-17</v>
      </c>
      <c r="AD35" s="320">
        <f>-9-16</f>
        <v>-25</v>
      </c>
      <c r="AE35" s="320">
        <v>-17</v>
      </c>
      <c r="AF35" s="416">
        <v>-86</v>
      </c>
    </row>
    <row r="36" spans="1:32" s="94" customFormat="1" ht="11.25">
      <c r="A36" s="89"/>
      <c r="B36" s="630" t="s">
        <v>68</v>
      </c>
      <c r="C36" s="82"/>
      <c r="D36" s="144">
        <f>D18+D21+D26+D31</f>
        <v>625</v>
      </c>
      <c r="E36" s="86">
        <f>E18+E21+E26+E31</f>
        <v>919</v>
      </c>
      <c r="F36" s="86">
        <f>F18+F21+F26+F31</f>
        <v>941</v>
      </c>
      <c r="G36" s="86">
        <f>G18+G21+G26+G31</f>
        <v>613</v>
      </c>
      <c r="H36" s="86">
        <f>H18+H21+H26+H31</f>
        <v>3098</v>
      </c>
      <c r="I36" s="574"/>
      <c r="J36" s="86">
        <f>J18+J21+J26+J31</f>
        <v>577</v>
      </c>
      <c r="K36" s="86">
        <f>K18+K21+K26+K31</f>
        <v>1116</v>
      </c>
      <c r="L36" s="86">
        <f>L18+L21+L26+L31</f>
        <v>147</v>
      </c>
      <c r="M36" s="86">
        <f>M18+M21+M26+M31</f>
        <v>-6962</v>
      </c>
      <c r="N36" s="86">
        <f>N18+N21+N26+N31</f>
        <v>-5122</v>
      </c>
      <c r="O36" s="574"/>
      <c r="P36" s="86">
        <f aca="true" t="shared" si="6" ref="P36:Y36">P18+P21+P26+P31</f>
        <v>343</v>
      </c>
      <c r="Q36" s="86">
        <f t="shared" si="6"/>
        <v>340</v>
      </c>
      <c r="R36" s="86">
        <f t="shared" si="6"/>
        <v>531</v>
      </c>
      <c r="S36" s="86">
        <f t="shared" si="6"/>
        <v>-5015</v>
      </c>
      <c r="T36" s="86">
        <f t="shared" si="6"/>
        <v>-3801</v>
      </c>
      <c r="U36" s="574"/>
      <c r="V36" s="321">
        <f t="shared" si="6"/>
        <v>1031</v>
      </c>
      <c r="W36" s="321">
        <f t="shared" si="6"/>
        <v>618</v>
      </c>
      <c r="X36" s="321">
        <f t="shared" si="6"/>
        <v>787</v>
      </c>
      <c r="Y36" s="321">
        <f t="shared" si="6"/>
        <v>-137</v>
      </c>
      <c r="Z36" s="321">
        <f t="shared" si="0"/>
        <v>2299</v>
      </c>
      <c r="AA36" s="574"/>
      <c r="AB36" s="321">
        <f>AB18+AB21+AB26+AB31</f>
        <v>661</v>
      </c>
      <c r="AC36" s="321">
        <f>AC18+AC21+AC26+AC31</f>
        <v>323</v>
      </c>
      <c r="AD36" s="321">
        <f>AD18+AD21+AD26+AD31</f>
        <v>608</v>
      </c>
      <c r="AE36" s="321">
        <f>AE18+AE21+AE26+AE31</f>
        <v>874</v>
      </c>
      <c r="AF36" s="421">
        <f>AF18+AF21+AF26+AF31</f>
        <v>2466</v>
      </c>
    </row>
    <row r="37" spans="1:32" s="94" customFormat="1" ht="11.25">
      <c r="A37" s="89"/>
      <c r="B37" s="635" t="s">
        <v>69</v>
      </c>
      <c r="C37" s="91"/>
      <c r="D37" s="143">
        <v>-208</v>
      </c>
      <c r="E37" s="92">
        <v>-235</v>
      </c>
      <c r="F37" s="92">
        <v>-262</v>
      </c>
      <c r="G37" s="92">
        <v>58</v>
      </c>
      <c r="H37" s="92">
        <v>-647</v>
      </c>
      <c r="I37" s="574"/>
      <c r="J37" s="92">
        <v>-179</v>
      </c>
      <c r="K37" s="92">
        <v>-320</v>
      </c>
      <c r="L37" s="92">
        <v>-113</v>
      </c>
      <c r="M37" s="92">
        <f>N37-SUM(J37:L37)</f>
        <v>725</v>
      </c>
      <c r="N37" s="92">
        <v>113</v>
      </c>
      <c r="O37" s="574"/>
      <c r="P37" s="92">
        <v>-180</v>
      </c>
      <c r="Q37" s="92">
        <v>-205</v>
      </c>
      <c r="R37" s="92">
        <v>-200</v>
      </c>
      <c r="S37" s="92">
        <v>-63</v>
      </c>
      <c r="T37" s="92">
        <v>-648</v>
      </c>
      <c r="U37" s="574"/>
      <c r="V37" s="320">
        <v>-321</v>
      </c>
      <c r="W37" s="320">
        <f>-186-88</f>
        <v>-274</v>
      </c>
      <c r="X37" s="320">
        <v>-182</v>
      </c>
      <c r="Y37" s="320">
        <f>-774+321+274+182</f>
        <v>3</v>
      </c>
      <c r="Z37" s="320">
        <f t="shared" si="0"/>
        <v>-774</v>
      </c>
      <c r="AA37" s="574"/>
      <c r="AB37" s="320">
        <v>-222</v>
      </c>
      <c r="AC37" s="320">
        <v>-151</v>
      </c>
      <c r="AD37" s="320">
        <v>-243</v>
      </c>
      <c r="AE37" s="320">
        <v>-192</v>
      </c>
      <c r="AF37" s="416">
        <v>-808</v>
      </c>
    </row>
    <row r="38" spans="2:32" s="94" customFormat="1" ht="11.25">
      <c r="B38" s="636" t="s">
        <v>70</v>
      </c>
      <c r="C38" s="103"/>
      <c r="D38" s="142">
        <f>D36+D37</f>
        <v>417</v>
      </c>
      <c r="E38" s="85">
        <f>E36+E37</f>
        <v>684</v>
      </c>
      <c r="F38" s="85">
        <f>F36+F37</f>
        <v>679</v>
      </c>
      <c r="G38" s="85">
        <f>G36+G37</f>
        <v>671</v>
      </c>
      <c r="H38" s="85">
        <f>H36+H37</f>
        <v>2451</v>
      </c>
      <c r="I38" s="574"/>
      <c r="J38" s="86">
        <f>J36+J37</f>
        <v>398</v>
      </c>
      <c r="K38" s="86">
        <f>K36+K37</f>
        <v>796</v>
      </c>
      <c r="L38" s="86">
        <f>L36+L37</f>
        <v>34</v>
      </c>
      <c r="M38" s="86">
        <f>M36+M37</f>
        <v>-6237</v>
      </c>
      <c r="N38" s="86">
        <f>N36+N37</f>
        <v>-5009</v>
      </c>
      <c r="O38" s="574"/>
      <c r="P38" s="86">
        <f aca="true" t="shared" si="7" ref="P38:Y38">P36+P37</f>
        <v>163</v>
      </c>
      <c r="Q38" s="86">
        <f t="shared" si="7"/>
        <v>135</v>
      </c>
      <c r="R38" s="86">
        <f t="shared" si="7"/>
        <v>331</v>
      </c>
      <c r="S38" s="86">
        <f t="shared" si="7"/>
        <v>-5078</v>
      </c>
      <c r="T38" s="85">
        <f t="shared" si="7"/>
        <v>-4449</v>
      </c>
      <c r="U38" s="574"/>
      <c r="V38" s="85">
        <f t="shared" si="7"/>
        <v>710</v>
      </c>
      <c r="W38" s="85">
        <f t="shared" si="7"/>
        <v>344</v>
      </c>
      <c r="X38" s="85">
        <f t="shared" si="7"/>
        <v>605</v>
      </c>
      <c r="Y38" s="85">
        <f t="shared" si="7"/>
        <v>-134</v>
      </c>
      <c r="Z38" s="85">
        <f t="shared" si="0"/>
        <v>1525</v>
      </c>
      <c r="AA38" s="574"/>
      <c r="AB38" s="85">
        <v>439</v>
      </c>
      <c r="AC38" s="85">
        <v>172</v>
      </c>
      <c r="AD38" s="85">
        <f>AD36+AD37</f>
        <v>365</v>
      </c>
      <c r="AE38" s="85">
        <f>AE36+AE37</f>
        <v>682</v>
      </c>
      <c r="AF38" s="421">
        <f>AF36+AF37</f>
        <v>1658</v>
      </c>
    </row>
    <row r="39" spans="3:32" s="94" customFormat="1" ht="11.25">
      <c r="C39" s="93"/>
      <c r="D39" s="146"/>
      <c r="E39" s="104"/>
      <c r="F39" s="104"/>
      <c r="G39" s="104"/>
      <c r="H39" s="104"/>
      <c r="I39" s="577"/>
      <c r="J39" s="104"/>
      <c r="K39" s="104"/>
      <c r="L39" s="104"/>
      <c r="M39" s="104"/>
      <c r="N39" s="104"/>
      <c r="O39" s="577"/>
      <c r="P39" s="104"/>
      <c r="Q39" s="104"/>
      <c r="R39" s="104"/>
      <c r="S39" s="104"/>
      <c r="T39" s="104"/>
      <c r="U39" s="577"/>
      <c r="V39" s="104"/>
      <c r="W39" s="104"/>
      <c r="X39" s="104"/>
      <c r="Y39" s="104"/>
      <c r="Z39" s="104"/>
      <c r="AA39" s="577"/>
      <c r="AB39" s="104"/>
      <c r="AC39" s="104"/>
      <c r="AD39" s="104"/>
      <c r="AE39" s="104"/>
      <c r="AF39" s="104"/>
    </row>
    <row r="40" spans="2:32" s="94" customFormat="1" ht="12" customHeight="1">
      <c r="B40" s="637" t="s">
        <v>71</v>
      </c>
      <c r="C40" s="105"/>
      <c r="D40" s="147">
        <v>401</v>
      </c>
      <c r="E40" s="106">
        <f>793-401</f>
        <v>392</v>
      </c>
      <c r="F40" s="106">
        <f>1196-401-392</f>
        <v>403</v>
      </c>
      <c r="G40" s="106">
        <f aca="true" t="shared" si="8" ref="G40:G45">H40-D40-E40-F40</f>
        <v>439</v>
      </c>
      <c r="H40" s="106">
        <v>1635</v>
      </c>
      <c r="I40" s="578"/>
      <c r="J40" s="106">
        <v>564</v>
      </c>
      <c r="K40" s="106">
        <f>944-564</f>
        <v>380</v>
      </c>
      <c r="L40" s="106">
        <f>1474-380-564</f>
        <v>530</v>
      </c>
      <c r="M40" s="106">
        <f aca="true" t="shared" si="9" ref="M40:M45">N40-SUM(J40:L40)</f>
        <v>469</v>
      </c>
      <c r="N40" s="106">
        <v>1943</v>
      </c>
      <c r="O40" s="578"/>
      <c r="P40" s="86">
        <v>397</v>
      </c>
      <c r="Q40" s="86">
        <f>810-397</f>
        <v>413</v>
      </c>
      <c r="R40" s="86">
        <f>1241-397-413</f>
        <v>431</v>
      </c>
      <c r="S40" s="86">
        <f aca="true" t="shared" si="10" ref="S40:S45">T40-P40-Q40-R40</f>
        <v>702</v>
      </c>
      <c r="T40" s="109">
        <v>1943</v>
      </c>
      <c r="U40" s="587"/>
      <c r="V40" s="109">
        <v>371</v>
      </c>
      <c r="W40" s="109">
        <f>772-371</f>
        <v>401</v>
      </c>
      <c r="X40" s="109">
        <f>772-371</f>
        <v>401</v>
      </c>
      <c r="Y40" s="109">
        <f>1609-401-401-371</f>
        <v>436</v>
      </c>
      <c r="Z40" s="109">
        <v>1609</v>
      </c>
      <c r="AA40" s="587"/>
      <c r="AB40" s="109">
        <v>350</v>
      </c>
      <c r="AC40" s="109">
        <f>864-350</f>
        <v>514</v>
      </c>
      <c r="AD40" s="109">
        <f>1316-350-514</f>
        <v>452</v>
      </c>
      <c r="AE40" s="109">
        <v>480</v>
      </c>
      <c r="AF40" s="421">
        <v>1796</v>
      </c>
    </row>
    <row r="41" spans="2:34" s="94" customFormat="1" ht="12" customHeight="1">
      <c r="B41" s="273" t="s">
        <v>72</v>
      </c>
      <c r="C41" s="105"/>
      <c r="D41" s="147">
        <v>1076</v>
      </c>
      <c r="E41" s="106">
        <f>2366-1076</f>
        <v>1290</v>
      </c>
      <c r="F41" s="107">
        <f>3683-1076-1290</f>
        <v>1317</v>
      </c>
      <c r="G41" s="106">
        <f t="shared" si="8"/>
        <v>1173</v>
      </c>
      <c r="H41" s="106">
        <f>4331+379+146</f>
        <v>4856</v>
      </c>
      <c r="I41" s="578"/>
      <c r="J41" s="107">
        <f>1095+118+68</f>
        <v>1281</v>
      </c>
      <c r="K41" s="107">
        <f>1269+64+146-68</f>
        <v>1411</v>
      </c>
      <c r="L41" s="107">
        <f>3252+259-40+211-1281-1411</f>
        <v>990</v>
      </c>
      <c r="M41" s="106">
        <f t="shared" si="9"/>
        <v>-5770</v>
      </c>
      <c r="N41" s="106">
        <f>4159-2042-4486+281</f>
        <v>-2088</v>
      </c>
      <c r="O41" s="578"/>
      <c r="P41" s="86">
        <f>673+139+84+91</f>
        <v>987</v>
      </c>
      <c r="Q41" s="86">
        <f>1463+272+154+173-987</f>
        <v>1075</v>
      </c>
      <c r="R41" s="86">
        <f>2394+393+124+240-987-1075</f>
        <v>1089</v>
      </c>
      <c r="S41" s="86">
        <f t="shared" si="10"/>
        <v>-5414</v>
      </c>
      <c r="T41" s="109">
        <f>3551+346-6473+313</f>
        <v>-2263</v>
      </c>
      <c r="U41" s="587"/>
      <c r="V41" s="109">
        <f>1304+75+122+80</f>
        <v>1581</v>
      </c>
      <c r="W41" s="109">
        <f>2863-1581</f>
        <v>1282</v>
      </c>
      <c r="X41" s="109">
        <f>2863-1581</f>
        <v>1282</v>
      </c>
      <c r="Y41" s="109">
        <v>1865</v>
      </c>
      <c r="Z41" s="109">
        <f>4160+964+609+277</f>
        <v>6010</v>
      </c>
      <c r="AA41" s="587"/>
      <c r="AB41" s="109">
        <v>1174</v>
      </c>
      <c r="AC41" s="109">
        <f>2565-1174</f>
        <v>1391</v>
      </c>
      <c r="AD41" s="109">
        <f>3790-1391-1174</f>
        <v>1225</v>
      </c>
      <c r="AE41" s="109">
        <v>1173</v>
      </c>
      <c r="AF41" s="421">
        <f>4972-9</f>
        <v>4963</v>
      </c>
      <c r="AG41" s="588"/>
      <c r="AH41" s="588"/>
    </row>
    <row r="42" spans="2:32" s="88" customFormat="1" ht="35.25" customHeight="1">
      <c r="B42" s="638" t="s">
        <v>73</v>
      </c>
      <c r="C42" s="84"/>
      <c r="D42" s="148">
        <f>982+4+90</f>
        <v>1076</v>
      </c>
      <c r="E42" s="108">
        <f>2366-1076</f>
        <v>1290</v>
      </c>
      <c r="F42" s="108">
        <f>3683-1076-1290</f>
        <v>1317</v>
      </c>
      <c r="G42" s="109">
        <f t="shared" si="8"/>
        <v>1207</v>
      </c>
      <c r="H42" s="108">
        <f>4331+415+144</f>
        <v>4890</v>
      </c>
      <c r="I42" s="579"/>
      <c r="J42" s="108">
        <f>1095+118+68</f>
        <v>1281</v>
      </c>
      <c r="K42" s="108">
        <f>1269+64+146-68</f>
        <v>1411</v>
      </c>
      <c r="L42" s="108">
        <f>3252+286-40+211-1281-1411</f>
        <v>1017</v>
      </c>
      <c r="M42" s="108">
        <f t="shared" si="9"/>
        <v>1001</v>
      </c>
      <c r="N42" s="108">
        <f>4163+369-101+279</f>
        <v>4710</v>
      </c>
      <c r="O42" s="579"/>
      <c r="P42" s="86">
        <f>673+139+84+91</f>
        <v>987</v>
      </c>
      <c r="Q42" s="86">
        <f>1463+272+154+173-987</f>
        <v>1075</v>
      </c>
      <c r="R42" s="86">
        <f>2394+393+124+240-987-1075</f>
        <v>1089</v>
      </c>
      <c r="S42" s="86">
        <f t="shared" si="10"/>
        <v>1515</v>
      </c>
      <c r="T42" s="108">
        <f>3551+614+189+312</f>
        <v>4666</v>
      </c>
      <c r="U42" s="579"/>
      <c r="V42" s="108">
        <f>1304+75+122+80</f>
        <v>1581</v>
      </c>
      <c r="W42" s="108">
        <f>2863-1581</f>
        <v>1282</v>
      </c>
      <c r="X42" s="108">
        <f>4277-1581-1282</f>
        <v>1414</v>
      </c>
      <c r="Y42" s="108">
        <v>1476</v>
      </c>
      <c r="Z42" s="108">
        <f>4160+707+609+277</f>
        <v>5753</v>
      </c>
      <c r="AA42" s="579"/>
      <c r="AB42" s="108">
        <v>1174</v>
      </c>
      <c r="AC42" s="108">
        <f>2565-1174</f>
        <v>1391</v>
      </c>
      <c r="AD42" s="108">
        <f>3790-1391-1174</f>
        <v>1225</v>
      </c>
      <c r="AE42" s="108">
        <v>1182</v>
      </c>
      <c r="AF42" s="421">
        <v>4972</v>
      </c>
    </row>
    <row r="43" spans="1:32" s="94" customFormat="1" ht="11.25">
      <c r="A43" s="89"/>
      <c r="B43" s="90" t="s">
        <v>12</v>
      </c>
      <c r="C43" s="91"/>
      <c r="D43" s="143">
        <v>982</v>
      </c>
      <c r="E43" s="92">
        <f>2019-982</f>
        <v>1037</v>
      </c>
      <c r="F43" s="92">
        <f>3131-1037-982</f>
        <v>1112</v>
      </c>
      <c r="G43" s="106">
        <f t="shared" si="8"/>
        <v>1200</v>
      </c>
      <c r="H43" s="92">
        <v>4331</v>
      </c>
      <c r="I43" s="574"/>
      <c r="J43" s="92">
        <v>1095</v>
      </c>
      <c r="K43" s="92">
        <f>2364-1095</f>
        <v>1269</v>
      </c>
      <c r="L43" s="92">
        <f>3252-1095-1269</f>
        <v>888</v>
      </c>
      <c r="M43" s="92">
        <f t="shared" si="9"/>
        <v>911</v>
      </c>
      <c r="N43" s="92">
        <v>4163</v>
      </c>
      <c r="O43" s="574"/>
      <c r="P43" s="92">
        <v>673</v>
      </c>
      <c r="Q43" s="92">
        <f>1463-673</f>
        <v>790</v>
      </c>
      <c r="R43" s="92">
        <f>2394-673-790</f>
        <v>931</v>
      </c>
      <c r="S43" s="92">
        <f t="shared" si="10"/>
        <v>1157</v>
      </c>
      <c r="T43" s="92">
        <v>3551</v>
      </c>
      <c r="U43" s="574"/>
      <c r="V43" s="92">
        <v>1304</v>
      </c>
      <c r="W43" s="92">
        <f>2231-1304</f>
        <v>927</v>
      </c>
      <c r="X43" s="92">
        <f>3199-1304-927</f>
        <v>968</v>
      </c>
      <c r="Y43" s="92">
        <v>961</v>
      </c>
      <c r="Z43" s="92">
        <v>4160</v>
      </c>
      <c r="AA43" s="574"/>
      <c r="AB43" s="92">
        <v>771</v>
      </c>
      <c r="AC43" s="92">
        <f>1700-771</f>
        <v>929</v>
      </c>
      <c r="AD43" s="92">
        <f>2588-771-929</f>
        <v>888</v>
      </c>
      <c r="AE43" s="92">
        <v>828</v>
      </c>
      <c r="AF43" s="416">
        <v>3416</v>
      </c>
    </row>
    <row r="44" spans="1:32" s="94" customFormat="1" ht="11.25">
      <c r="A44" s="89"/>
      <c r="B44" s="90" t="s">
        <v>13</v>
      </c>
      <c r="C44" s="91"/>
      <c r="D44" s="143">
        <v>4</v>
      </c>
      <c r="E44" s="92">
        <f>167-4</f>
        <v>163</v>
      </c>
      <c r="F44" s="92">
        <f>293-163-4</f>
        <v>126</v>
      </c>
      <c r="G44" s="106">
        <f t="shared" si="8"/>
        <v>122</v>
      </c>
      <c r="H44" s="92">
        <v>415</v>
      </c>
      <c r="I44" s="574"/>
      <c r="J44" s="92">
        <v>118</v>
      </c>
      <c r="K44" s="92">
        <f>182-118</f>
        <v>64</v>
      </c>
      <c r="L44" s="92">
        <f>286-118-64</f>
        <v>104</v>
      </c>
      <c r="M44" s="92">
        <f t="shared" si="9"/>
        <v>83</v>
      </c>
      <c r="N44" s="92">
        <v>369</v>
      </c>
      <c r="O44" s="574"/>
      <c r="P44" s="92">
        <v>139</v>
      </c>
      <c r="Q44" s="92">
        <f>272-139</f>
        <v>133</v>
      </c>
      <c r="R44" s="92">
        <f>393-139-133</f>
        <v>121</v>
      </c>
      <c r="S44" s="92">
        <f t="shared" si="10"/>
        <v>221</v>
      </c>
      <c r="T44" s="92">
        <v>614</v>
      </c>
      <c r="U44" s="574"/>
      <c r="V44" s="92">
        <v>75</v>
      </c>
      <c r="W44" s="92">
        <f>264-75</f>
        <v>189</v>
      </c>
      <c r="X44" s="92">
        <f>455-75-189</f>
        <v>191</v>
      </c>
      <c r="Y44" s="92">
        <v>252</v>
      </c>
      <c r="Z44" s="92">
        <v>707</v>
      </c>
      <c r="AA44" s="574"/>
      <c r="AB44" s="92">
        <v>168</v>
      </c>
      <c r="AC44" s="92">
        <f>380-168</f>
        <v>212</v>
      </c>
      <c r="AD44" s="92">
        <f>528-168-212</f>
        <v>148</v>
      </c>
      <c r="AE44" s="92">
        <v>194</v>
      </c>
      <c r="AF44" s="416">
        <v>722</v>
      </c>
    </row>
    <row r="45" spans="1:32" s="94" customFormat="1" ht="11.25">
      <c r="A45" s="89"/>
      <c r="B45" s="90" t="s">
        <v>14</v>
      </c>
      <c r="C45" s="91"/>
      <c r="D45" s="143">
        <v>0</v>
      </c>
      <c r="E45" s="92">
        <v>0</v>
      </c>
      <c r="F45" s="92">
        <v>0</v>
      </c>
      <c r="G45" s="92">
        <f t="shared" si="8"/>
        <v>0</v>
      </c>
      <c r="H45" s="92">
        <v>0</v>
      </c>
      <c r="I45" s="574"/>
      <c r="J45" s="92">
        <v>0</v>
      </c>
      <c r="K45" s="92">
        <v>0</v>
      </c>
      <c r="L45" s="92">
        <v>-40</v>
      </c>
      <c r="M45" s="92">
        <f t="shared" si="9"/>
        <v>-61</v>
      </c>
      <c r="N45" s="92">
        <v>-101</v>
      </c>
      <c r="O45" s="574"/>
      <c r="P45" s="92">
        <v>84</v>
      </c>
      <c r="Q45" s="92">
        <f>154-84</f>
        <v>70</v>
      </c>
      <c r="R45" s="92">
        <f>124-84-70</f>
        <v>-30</v>
      </c>
      <c r="S45" s="92">
        <f t="shared" si="10"/>
        <v>65</v>
      </c>
      <c r="T45" s="92">
        <v>189</v>
      </c>
      <c r="U45" s="574"/>
      <c r="V45" s="92">
        <v>122</v>
      </c>
      <c r="W45" s="92">
        <f>195-122</f>
        <v>73</v>
      </c>
      <c r="X45" s="92">
        <f>378-122-73</f>
        <v>183</v>
      </c>
      <c r="Y45" s="92">
        <v>231</v>
      </c>
      <c r="Z45" s="92">
        <v>609</v>
      </c>
      <c r="AA45" s="574"/>
      <c r="AB45" s="92">
        <v>163</v>
      </c>
      <c r="AC45" s="92">
        <f>333-163</f>
        <v>170</v>
      </c>
      <c r="AD45" s="92">
        <f>484-163-170</f>
        <v>151</v>
      </c>
      <c r="AE45" s="92">
        <v>149</v>
      </c>
      <c r="AF45" s="416">
        <v>633</v>
      </c>
    </row>
    <row r="46" spans="2:32" s="88" customFormat="1" ht="22.5">
      <c r="B46" s="638" t="s">
        <v>74</v>
      </c>
      <c r="C46" s="84"/>
      <c r="D46" s="149">
        <f aca="true" t="shared" si="11" ref="D46:H48">D42/D11</f>
        <v>0.23139784946236558</v>
      </c>
      <c r="E46" s="110">
        <f t="shared" si="11"/>
        <v>0.2644526445264453</v>
      </c>
      <c r="F46" s="110">
        <f t="shared" si="11"/>
        <v>0.2538550501156515</v>
      </c>
      <c r="G46" s="111">
        <f t="shared" si="11"/>
        <v>0.20896814404432132</v>
      </c>
      <c r="H46" s="110">
        <f t="shared" si="11"/>
        <v>0.23862970915479212</v>
      </c>
      <c r="I46" s="580"/>
      <c r="J46" s="110">
        <f aca="true" t="shared" si="12" ref="J46:K48">J42/J11</f>
        <v>0.2707672796448954</v>
      </c>
      <c r="K46" s="110">
        <f t="shared" si="12"/>
        <v>0.2647776318258585</v>
      </c>
      <c r="L46" s="110">
        <v>0.20082938388625593</v>
      </c>
      <c r="M46" s="110">
        <v>0.1822651128914785</v>
      </c>
      <c r="N46" s="110">
        <v>0.22846332945285217</v>
      </c>
      <c r="O46" s="580"/>
      <c r="P46" s="112">
        <v>0.23344370860927152</v>
      </c>
      <c r="Q46" s="112">
        <v>0.2188963551211566</v>
      </c>
      <c r="R46" s="112">
        <v>0.21902654867256638</v>
      </c>
      <c r="S46" s="112">
        <v>0.23528498214008386</v>
      </c>
      <c r="T46" s="110">
        <v>0.22705596107055961</v>
      </c>
      <c r="U46" s="580"/>
      <c r="V46" s="110">
        <f>V42/(V11+459)</f>
        <v>0.29441340782122905</v>
      </c>
      <c r="W46" s="110">
        <f>W42/(W11+868-459)</f>
        <v>0.24601803876415276</v>
      </c>
      <c r="X46" s="110">
        <f>X42/(X11+1436-459-409)</f>
        <v>0.2646948708348933</v>
      </c>
      <c r="Y46" s="110">
        <f>Y42/(Y11+1993-459-409-568)</f>
        <v>0.22962041070317363</v>
      </c>
      <c r="Z46" s="110">
        <f>Z42/(Z11+1993)</f>
        <v>0.25739340521676884</v>
      </c>
      <c r="AA46" s="580"/>
      <c r="AB46" s="110">
        <f>AB42/(AB11+481)</f>
        <v>0.24731409311143882</v>
      </c>
      <c r="AC46" s="110">
        <f>AC42/(AC11+(908-481))</f>
        <v>0.24910458452722062</v>
      </c>
      <c r="AD46" s="110">
        <f>AD42/(AD11+(1407-908))</f>
        <v>0.2089374040593553</v>
      </c>
      <c r="AE46" s="110">
        <f>AE42/(AE11+(1407-908))</f>
        <v>0.18948380891311317</v>
      </c>
      <c r="AF46" s="420">
        <v>0.22</v>
      </c>
    </row>
    <row r="47" spans="1:32" s="94" customFormat="1" ht="11.25">
      <c r="A47" s="89"/>
      <c r="B47" s="90" t="s">
        <v>12</v>
      </c>
      <c r="C47" s="91"/>
      <c r="D47" s="150">
        <f t="shared" si="11"/>
        <v>0.25842105263157894</v>
      </c>
      <c r="E47" s="113">
        <f t="shared" si="11"/>
        <v>0.26406926406926406</v>
      </c>
      <c r="F47" s="113">
        <f t="shared" si="11"/>
        <v>0.27016520894071916</v>
      </c>
      <c r="G47" s="114">
        <f t="shared" si="11"/>
        <v>0.25052192066805845</v>
      </c>
      <c r="H47" s="113">
        <f t="shared" si="11"/>
        <v>0.2603859796789515</v>
      </c>
      <c r="I47" s="581"/>
      <c r="J47" s="113">
        <f t="shared" si="12"/>
        <v>0.2906822405096894</v>
      </c>
      <c r="K47" s="113">
        <f t="shared" si="12"/>
        <v>0.2934104046242775</v>
      </c>
      <c r="L47" s="113">
        <f aca="true" t="shared" si="13" ref="L47:N48">L43/L12</f>
        <v>0.24123879380603097</v>
      </c>
      <c r="M47" s="113">
        <f t="shared" si="13"/>
        <v>0.2186749879980797</v>
      </c>
      <c r="N47" s="113">
        <f t="shared" si="13"/>
        <v>0.2611832611832612</v>
      </c>
      <c r="O47" s="581"/>
      <c r="P47" s="113">
        <f aca="true" t="shared" si="14" ref="P47:AC47">P43/P12</f>
        <v>0.22591473648875462</v>
      </c>
      <c r="Q47" s="113">
        <f t="shared" si="14"/>
        <v>0.2218477955630441</v>
      </c>
      <c r="R47" s="113">
        <f t="shared" si="14"/>
        <v>0.24866452991452992</v>
      </c>
      <c r="S47" s="113">
        <f t="shared" si="14"/>
        <v>0.23964374482187242</v>
      </c>
      <c r="T47" s="113">
        <f t="shared" si="14"/>
        <v>0.23497882477501322</v>
      </c>
      <c r="U47" s="581"/>
      <c r="V47" s="113">
        <f t="shared" si="14"/>
        <v>0.3347022587268994</v>
      </c>
      <c r="W47" s="113">
        <f t="shared" si="14"/>
        <v>0.24362680683311433</v>
      </c>
      <c r="X47" s="113">
        <f t="shared" si="14"/>
        <v>0.25937834941050375</v>
      </c>
      <c r="Y47" s="113">
        <f t="shared" si="14"/>
        <v>0.20932258767153125</v>
      </c>
      <c r="Z47" s="113">
        <f t="shared" si="14"/>
        <v>0.25961058412381427</v>
      </c>
      <c r="AA47" s="581"/>
      <c r="AB47" s="113">
        <f>AB43/AB12</f>
        <v>0.2404865876481597</v>
      </c>
      <c r="AC47" s="113">
        <f t="shared" si="14"/>
        <v>0.23324127542053727</v>
      </c>
      <c r="AD47" s="113">
        <f>AD43/AD12</f>
        <v>0.21511627906976744</v>
      </c>
      <c r="AE47" s="113">
        <f>AE43/AE12</f>
        <v>0.1864864864864865</v>
      </c>
      <c r="AF47" s="419">
        <v>0.22</v>
      </c>
    </row>
    <row r="48" spans="1:32" s="94" customFormat="1" ht="11.25">
      <c r="A48" s="89"/>
      <c r="B48" s="90" t="s">
        <v>13</v>
      </c>
      <c r="C48" s="91"/>
      <c r="D48" s="150">
        <f t="shared" si="11"/>
        <v>0.008849557522123894</v>
      </c>
      <c r="E48" s="113">
        <f t="shared" si="11"/>
        <v>0.29963235294117646</v>
      </c>
      <c r="F48" s="113">
        <f t="shared" si="11"/>
        <v>0.1917808219178082</v>
      </c>
      <c r="G48" s="114">
        <f t="shared" si="11"/>
        <v>0.21180555555555555</v>
      </c>
      <c r="H48" s="113">
        <f t="shared" si="11"/>
        <v>0.18618214445939885</v>
      </c>
      <c r="I48" s="581"/>
      <c r="J48" s="113">
        <f t="shared" si="12"/>
        <v>0.19063004846526657</v>
      </c>
      <c r="K48" s="113">
        <f t="shared" si="12"/>
        <v>0.10578512396694215</v>
      </c>
      <c r="L48" s="113">
        <f t="shared" si="13"/>
        <v>0.14092140921409213</v>
      </c>
      <c r="M48" s="113">
        <f t="shared" si="13"/>
        <v>0.13495934959349593</v>
      </c>
      <c r="N48" s="113">
        <f t="shared" si="13"/>
        <v>0.14318975552968569</v>
      </c>
      <c r="O48" s="581"/>
      <c r="P48" s="113">
        <f aca="true" t="shared" si="15" ref="P48:AE48">P44/P13</f>
        <v>0.23639455782312926</v>
      </c>
      <c r="Q48" s="113">
        <f t="shared" si="15"/>
        <v>0.2180327868852459</v>
      </c>
      <c r="R48" s="113">
        <f t="shared" si="15"/>
        <v>0.2137809187279152</v>
      </c>
      <c r="S48" s="113">
        <f t="shared" si="15"/>
        <v>0.28664072632944226</v>
      </c>
      <c r="T48" s="113">
        <f t="shared" si="15"/>
        <v>0.24220907297830374</v>
      </c>
      <c r="U48" s="581"/>
      <c r="V48" s="113">
        <f t="shared" si="15"/>
        <v>0.12931034482758622</v>
      </c>
      <c r="W48" s="113">
        <f t="shared" si="15"/>
        <v>0.3144758735440932</v>
      </c>
      <c r="X48" s="113">
        <f t="shared" si="15"/>
        <v>0.31209150326797386</v>
      </c>
      <c r="Y48" s="113">
        <f t="shared" si="15"/>
        <v>0.311495673671199</v>
      </c>
      <c r="Z48" s="113">
        <f t="shared" si="15"/>
        <v>0.2717140661029977</v>
      </c>
      <c r="AA48" s="581"/>
      <c r="AB48" s="113">
        <f t="shared" si="15"/>
        <v>0.27586206896551724</v>
      </c>
      <c r="AC48" s="113">
        <f t="shared" si="15"/>
        <v>0.3076923076923077</v>
      </c>
      <c r="AD48" s="113">
        <f>AD44/AD13</f>
        <v>0.19759679572763686</v>
      </c>
      <c r="AE48" s="113">
        <f t="shared" si="15"/>
        <v>0.23980222496909764</v>
      </c>
      <c r="AF48" s="419">
        <v>0.25</v>
      </c>
    </row>
    <row r="49" spans="1:32" s="94" customFormat="1" ht="11.25">
      <c r="A49" s="89"/>
      <c r="B49" s="90" t="s">
        <v>14</v>
      </c>
      <c r="C49" s="91"/>
      <c r="D49" s="143">
        <v>0</v>
      </c>
      <c r="E49" s="92">
        <v>0</v>
      </c>
      <c r="F49" s="92">
        <v>0</v>
      </c>
      <c r="G49" s="92">
        <f>H49-D49-E49-F49</f>
        <v>0</v>
      </c>
      <c r="H49" s="92">
        <v>0</v>
      </c>
      <c r="I49" s="574"/>
      <c r="J49" s="92">
        <v>0</v>
      </c>
      <c r="K49" s="92">
        <v>0</v>
      </c>
      <c r="L49" s="113">
        <v>-0.15151515151515152</v>
      </c>
      <c r="M49" s="113">
        <v>-0.17732558139534885</v>
      </c>
      <c r="N49" s="113">
        <v>-0.16611842105263158</v>
      </c>
      <c r="O49" s="574"/>
      <c r="P49" s="113">
        <v>0.26582278481012656</v>
      </c>
      <c r="Q49" s="113">
        <v>0.1907356948228883</v>
      </c>
      <c r="R49" s="113">
        <v>-0.10452961672473868</v>
      </c>
      <c r="S49" s="113">
        <v>0.15330188679245282</v>
      </c>
      <c r="T49" s="113">
        <v>0.13558106169296988</v>
      </c>
      <c r="U49" s="574"/>
      <c r="V49" s="113">
        <f>V45/459</f>
        <v>0.2657952069716776</v>
      </c>
      <c r="W49" s="113">
        <f>W45/(868-459)</f>
        <v>0.1784841075794621</v>
      </c>
      <c r="X49" s="113">
        <f>X45/(1436-459-409)</f>
        <v>0.3221830985915493</v>
      </c>
      <c r="Y49" s="113">
        <f>Y45/(1993-568-459-409)</f>
        <v>0.414721723518851</v>
      </c>
      <c r="Z49" s="113">
        <f>Z45/(1993)</f>
        <v>0.305569493226292</v>
      </c>
      <c r="AA49" s="574"/>
      <c r="AB49" s="113">
        <f>AB45/481</f>
        <v>0.3388773388773389</v>
      </c>
      <c r="AC49" s="113">
        <f>AC45/(908-481)</f>
        <v>0.3981264637002342</v>
      </c>
      <c r="AD49" s="113">
        <f>AD45/(1407-908)</f>
        <v>0.3026052104208417</v>
      </c>
      <c r="AE49" s="113">
        <f>AE45/(1948-1407)</f>
        <v>0.2754158964879852</v>
      </c>
      <c r="AF49" s="419">
        <v>0.32</v>
      </c>
    </row>
    <row r="50" spans="1:32" s="94" customFormat="1" ht="22.5">
      <c r="A50" s="89"/>
      <c r="B50" s="635" t="s">
        <v>75</v>
      </c>
      <c r="C50" s="91"/>
      <c r="D50" s="151"/>
      <c r="E50" s="115"/>
      <c r="F50" s="115"/>
      <c r="G50" s="115"/>
      <c r="H50" s="115"/>
      <c r="I50" s="574"/>
      <c r="J50" s="115"/>
      <c r="K50" s="115"/>
      <c r="L50" s="116"/>
      <c r="M50" s="116"/>
      <c r="N50" s="116"/>
      <c r="O50" s="574"/>
      <c r="P50" s="113"/>
      <c r="Q50" s="113"/>
      <c r="R50" s="113"/>
      <c r="S50" s="113"/>
      <c r="T50" s="115"/>
      <c r="U50" s="574"/>
      <c r="V50" s="115"/>
      <c r="W50" s="115"/>
      <c r="X50" s="115"/>
      <c r="Y50" s="115"/>
      <c r="Z50" s="115"/>
      <c r="AA50" s="574"/>
      <c r="AB50" s="115"/>
      <c r="AC50" s="115"/>
      <c r="AD50" s="115"/>
      <c r="AE50" s="115"/>
      <c r="AF50" s="419"/>
    </row>
    <row r="51" spans="1:32" s="94" customFormat="1" ht="13.5" customHeight="1">
      <c r="A51" s="89"/>
      <c r="B51" s="117"/>
      <c r="C51" s="93"/>
      <c r="D51" s="151"/>
      <c r="E51" s="115"/>
      <c r="F51" s="115"/>
      <c r="G51" s="115"/>
      <c r="H51" s="115"/>
      <c r="I51" s="574"/>
      <c r="J51" s="115"/>
      <c r="K51" s="115"/>
      <c r="L51" s="115"/>
      <c r="M51" s="115"/>
      <c r="N51" s="115"/>
      <c r="O51" s="574"/>
      <c r="P51" s="92"/>
      <c r="Q51" s="113"/>
      <c r="R51" s="92"/>
      <c r="S51" s="92"/>
      <c r="T51" s="115"/>
      <c r="U51" s="574"/>
      <c r="V51" s="115"/>
      <c r="W51" s="115"/>
      <c r="X51" s="115"/>
      <c r="Y51" s="115"/>
      <c r="Z51" s="115"/>
      <c r="AA51" s="574"/>
      <c r="AB51" s="115"/>
      <c r="AC51" s="115"/>
      <c r="AD51" s="115"/>
      <c r="AE51" s="115"/>
      <c r="AF51" s="416"/>
    </row>
    <row r="52" spans="2:32" s="87" customFormat="1" ht="12" customHeight="1">
      <c r="B52" s="272" t="s">
        <v>76</v>
      </c>
      <c r="C52" s="105"/>
      <c r="D52" s="152">
        <v>1.9</v>
      </c>
      <c r="E52" s="118">
        <v>1.85</v>
      </c>
      <c r="F52" s="118">
        <v>1.96</v>
      </c>
      <c r="G52" s="118">
        <v>1.87</v>
      </c>
      <c r="H52" s="118">
        <v>1.89</v>
      </c>
      <c r="I52" s="582"/>
      <c r="J52" s="118">
        <v>1.6</v>
      </c>
      <c r="K52" s="118">
        <v>1.57</v>
      </c>
      <c r="L52" s="118">
        <v>1.64</v>
      </c>
      <c r="M52" s="118">
        <v>1.49</v>
      </c>
      <c r="N52" s="118">
        <v>1.59</v>
      </c>
      <c r="O52" s="582"/>
      <c r="P52" s="119">
        <v>1.39</v>
      </c>
      <c r="Q52" s="119">
        <v>1.4</v>
      </c>
      <c r="R52" s="119">
        <v>1.36</v>
      </c>
      <c r="S52" s="119">
        <v>1.49</v>
      </c>
      <c r="T52" s="118">
        <v>1.41</v>
      </c>
      <c r="U52" s="582"/>
      <c r="V52" s="118">
        <v>1.53</v>
      </c>
      <c r="W52" s="118">
        <v>1.41</v>
      </c>
      <c r="X52" s="118">
        <v>1.65</v>
      </c>
      <c r="Y52" s="118">
        <v>1.79</v>
      </c>
      <c r="Z52" s="118">
        <v>1.59</v>
      </c>
      <c r="AA52" s="582"/>
      <c r="AB52" s="118" t="s">
        <v>34</v>
      </c>
      <c r="AC52" s="118">
        <v>1.85</v>
      </c>
      <c r="AD52" s="118">
        <v>1.78</v>
      </c>
      <c r="AE52" s="118">
        <v>1.81</v>
      </c>
      <c r="AF52" s="418">
        <v>1.81</v>
      </c>
    </row>
    <row r="53" spans="1:32" s="94" customFormat="1" ht="11.25">
      <c r="A53" s="89"/>
      <c r="B53" s="90" t="s">
        <v>12</v>
      </c>
      <c r="C53" s="91"/>
      <c r="D53" s="153">
        <v>1.77</v>
      </c>
      <c r="E53" s="120">
        <v>1.82</v>
      </c>
      <c r="F53" s="120">
        <v>1.88</v>
      </c>
      <c r="G53" s="120">
        <v>1.82</v>
      </c>
      <c r="H53" s="120">
        <v>1.82</v>
      </c>
      <c r="I53" s="574"/>
      <c r="J53" s="120">
        <v>1.46</v>
      </c>
      <c r="K53" s="120">
        <v>1.52</v>
      </c>
      <c r="L53" s="120">
        <v>1.49</v>
      </c>
      <c r="M53" s="120">
        <v>1.4</v>
      </c>
      <c r="N53" s="120">
        <v>1.47</v>
      </c>
      <c r="O53" s="574"/>
      <c r="P53" s="121">
        <v>1.33</v>
      </c>
      <c r="Q53" s="121">
        <v>1.32</v>
      </c>
      <c r="R53" s="121">
        <v>1.18</v>
      </c>
      <c r="S53" s="121">
        <v>1.34</v>
      </c>
      <c r="T53" s="120">
        <v>1.3</v>
      </c>
      <c r="U53" s="574"/>
      <c r="V53" s="120">
        <v>1.33</v>
      </c>
      <c r="W53" s="120">
        <v>1.34</v>
      </c>
      <c r="X53" s="120">
        <v>1.62</v>
      </c>
      <c r="Y53" s="120">
        <v>1.84</v>
      </c>
      <c r="Z53" s="120">
        <v>1.52</v>
      </c>
      <c r="AA53" s="574"/>
      <c r="AB53" s="120" t="s">
        <v>33</v>
      </c>
      <c r="AC53" s="120">
        <v>1.96</v>
      </c>
      <c r="AD53" s="120">
        <v>1.82</v>
      </c>
      <c r="AE53" s="120">
        <v>1.82</v>
      </c>
      <c r="AF53" s="417">
        <v>1.85</v>
      </c>
    </row>
    <row r="54" spans="1:32" s="94" customFormat="1" ht="11.25">
      <c r="A54" s="89"/>
      <c r="B54" s="90" t="s">
        <v>13</v>
      </c>
      <c r="C54" s="91"/>
      <c r="D54" s="154">
        <v>2.74</v>
      </c>
      <c r="E54" s="122">
        <v>2.03</v>
      </c>
      <c r="F54" s="122">
        <v>2.25</v>
      </c>
      <c r="G54" s="122">
        <v>2.11</v>
      </c>
      <c r="H54" s="122">
        <v>2.26</v>
      </c>
      <c r="I54" s="574"/>
      <c r="J54" s="120">
        <v>2.21</v>
      </c>
      <c r="K54" s="120">
        <v>1.83</v>
      </c>
      <c r="L54" s="120">
        <v>1.74</v>
      </c>
      <c r="M54" s="120">
        <v>1.72</v>
      </c>
      <c r="N54" s="120">
        <v>1.87</v>
      </c>
      <c r="O54" s="574"/>
      <c r="P54" s="121">
        <v>1.48</v>
      </c>
      <c r="Q54" s="121">
        <v>1.59</v>
      </c>
      <c r="R54" s="121">
        <v>1.73</v>
      </c>
      <c r="S54" s="121">
        <v>1.72</v>
      </c>
      <c r="T54" s="122">
        <v>1.63</v>
      </c>
      <c r="U54" s="574"/>
      <c r="V54" s="122">
        <v>2.35</v>
      </c>
      <c r="W54" s="122">
        <v>1.72</v>
      </c>
      <c r="X54" s="122">
        <v>1.9</v>
      </c>
      <c r="Y54" s="122">
        <v>1.81</v>
      </c>
      <c r="Z54" s="122">
        <v>1.92</v>
      </c>
      <c r="AA54" s="574"/>
      <c r="AB54" s="122">
        <v>1.89</v>
      </c>
      <c r="AC54" s="122">
        <v>1.84</v>
      </c>
      <c r="AD54" s="122">
        <v>1.89</v>
      </c>
      <c r="AE54" s="122">
        <v>2.04</v>
      </c>
      <c r="AF54" s="417">
        <v>1.92</v>
      </c>
    </row>
    <row r="55" spans="1:32" s="94" customFormat="1" ht="11.25">
      <c r="A55" s="89"/>
      <c r="B55" s="90" t="s">
        <v>14</v>
      </c>
      <c r="C55" s="91"/>
      <c r="D55" s="155" t="s">
        <v>15</v>
      </c>
      <c r="E55" s="123" t="s">
        <v>15</v>
      </c>
      <c r="F55" s="123" t="s">
        <v>15</v>
      </c>
      <c r="G55" s="123" t="s">
        <v>15</v>
      </c>
      <c r="H55" s="123" t="s">
        <v>15</v>
      </c>
      <c r="I55" s="574"/>
      <c r="J55" s="122" t="s">
        <v>15</v>
      </c>
      <c r="K55" s="122" t="s">
        <v>15</v>
      </c>
      <c r="L55" s="122">
        <v>2.6</v>
      </c>
      <c r="M55" s="122">
        <v>2.56</v>
      </c>
      <c r="N55" s="122">
        <v>2.58</v>
      </c>
      <c r="O55" s="574"/>
      <c r="P55" s="121">
        <v>1.73</v>
      </c>
      <c r="Q55" s="121">
        <v>1.77</v>
      </c>
      <c r="R55" s="121">
        <v>2.19</v>
      </c>
      <c r="S55" s="121">
        <v>2.11</v>
      </c>
      <c r="T55" s="123">
        <v>1.96</v>
      </c>
      <c r="U55" s="574"/>
      <c r="V55" s="123">
        <v>1.94</v>
      </c>
      <c r="W55" s="123">
        <v>1.53</v>
      </c>
      <c r="X55" s="123">
        <v>1.56</v>
      </c>
      <c r="Y55" s="123">
        <v>1.44</v>
      </c>
      <c r="Z55" s="123">
        <v>1.67</v>
      </c>
      <c r="AA55" s="574"/>
      <c r="AB55" s="123">
        <v>1.43</v>
      </c>
      <c r="AC55" s="123">
        <v>0.83</v>
      </c>
      <c r="AD55" s="123">
        <v>1.29</v>
      </c>
      <c r="AE55" s="123">
        <v>1.56</v>
      </c>
      <c r="AF55" s="417">
        <v>1.31</v>
      </c>
    </row>
    <row r="56" spans="1:32" s="94" customFormat="1" ht="11.25">
      <c r="A56" s="89"/>
      <c r="B56" s="91"/>
      <c r="C56" s="91"/>
      <c r="D56" s="156"/>
      <c r="E56" s="124"/>
      <c r="F56" s="124"/>
      <c r="G56" s="124"/>
      <c r="H56" s="124"/>
      <c r="I56" s="574"/>
      <c r="J56" s="124"/>
      <c r="K56" s="124"/>
      <c r="L56" s="124"/>
      <c r="M56" s="124"/>
      <c r="N56" s="124"/>
      <c r="O56" s="574"/>
      <c r="P56" s="125"/>
      <c r="Q56" s="125"/>
      <c r="R56" s="125"/>
      <c r="S56" s="125"/>
      <c r="T56" s="124"/>
      <c r="U56" s="574"/>
      <c r="V56" s="124"/>
      <c r="W56" s="124"/>
      <c r="X56" s="124"/>
      <c r="Y56" s="124"/>
      <c r="Z56" s="124"/>
      <c r="AA56" s="574"/>
      <c r="AB56" s="124"/>
      <c r="AC56" s="124"/>
      <c r="AD56" s="124"/>
      <c r="AE56" s="124"/>
      <c r="AF56" s="75"/>
    </row>
    <row r="57" spans="2:32" s="94" customFormat="1" ht="12" customHeight="1">
      <c r="B57" s="105"/>
      <c r="C57" s="105"/>
      <c r="D57" s="156"/>
      <c r="E57" s="124"/>
      <c r="F57" s="124"/>
      <c r="G57" s="124"/>
      <c r="H57" s="124"/>
      <c r="I57" s="583"/>
      <c r="J57" s="124"/>
      <c r="K57" s="124"/>
      <c r="L57" s="124"/>
      <c r="M57" s="124"/>
      <c r="N57" s="124"/>
      <c r="O57" s="583"/>
      <c r="P57" s="126"/>
      <c r="Q57" s="126"/>
      <c r="R57" s="126"/>
      <c r="S57" s="126"/>
      <c r="T57" s="124"/>
      <c r="U57" s="583"/>
      <c r="V57" s="124"/>
      <c r="W57" s="124"/>
      <c r="X57" s="124"/>
      <c r="Y57" s="124"/>
      <c r="Z57" s="124"/>
      <c r="AA57" s="583"/>
      <c r="AB57" s="124"/>
      <c r="AC57" s="124"/>
      <c r="AD57" s="124"/>
      <c r="AE57" s="124"/>
      <c r="AF57" s="127"/>
    </row>
    <row r="58" spans="2:32" s="66" customFormat="1" ht="12" customHeight="1">
      <c r="B58" s="209" t="s">
        <v>77</v>
      </c>
      <c r="C58" s="67"/>
      <c r="D58" s="157"/>
      <c r="E58" s="68"/>
      <c r="F58" s="68"/>
      <c r="G58" s="68"/>
      <c r="H58" s="69"/>
      <c r="I58" s="584"/>
      <c r="J58" s="68"/>
      <c r="K58" s="68"/>
      <c r="L58" s="68"/>
      <c r="M58" s="68"/>
      <c r="N58" s="69"/>
      <c r="O58" s="584"/>
      <c r="P58" s="68"/>
      <c r="Q58" s="68"/>
      <c r="R58" s="68"/>
      <c r="S58" s="68"/>
      <c r="T58" s="68"/>
      <c r="U58" s="584"/>
      <c r="V58" s="68"/>
      <c r="W58" s="68"/>
      <c r="X58" s="68"/>
      <c r="Y58" s="68"/>
      <c r="Z58" s="68"/>
      <c r="AA58" s="584"/>
      <c r="AB58" s="68"/>
      <c r="AC58" s="68"/>
      <c r="AD58" s="68"/>
      <c r="AE58" s="68"/>
      <c r="AF58" s="55"/>
    </row>
    <row r="59" spans="2:32" s="66" customFormat="1" ht="12" customHeight="1">
      <c r="B59" s="216" t="s">
        <v>78</v>
      </c>
      <c r="C59" s="72"/>
      <c r="D59" s="145">
        <v>401</v>
      </c>
      <c r="E59" s="96">
        <v>392</v>
      </c>
      <c r="F59" s="96">
        <v>403</v>
      </c>
      <c r="G59" s="96">
        <v>439</v>
      </c>
      <c r="H59" s="96">
        <v>1635</v>
      </c>
      <c r="I59" s="575"/>
      <c r="J59" s="96">
        <v>564</v>
      </c>
      <c r="K59" s="96">
        <v>516</v>
      </c>
      <c r="L59" s="96">
        <v>486</v>
      </c>
      <c r="M59" s="96">
        <v>449</v>
      </c>
      <c r="N59" s="96">
        <v>2015</v>
      </c>
      <c r="O59" s="575"/>
      <c r="P59" s="96">
        <v>404</v>
      </c>
      <c r="Q59" s="96">
        <v>425</v>
      </c>
      <c r="R59" s="96">
        <v>435</v>
      </c>
      <c r="S59" s="96">
        <v>454</v>
      </c>
      <c r="T59" s="96">
        <v>1718</v>
      </c>
      <c r="U59" s="575"/>
      <c r="V59" s="96">
        <v>405</v>
      </c>
      <c r="W59" s="96">
        <v>428</v>
      </c>
      <c r="X59" s="96">
        <v>404</v>
      </c>
      <c r="Y59" s="96">
        <v>447</v>
      </c>
      <c r="Z59" s="96">
        <f aca="true" t="shared" si="16" ref="Z59:Z71">V59+W59+X59+Y59</f>
        <v>1684</v>
      </c>
      <c r="AA59" s="575"/>
      <c r="AB59" s="96">
        <v>417</v>
      </c>
      <c r="AC59" s="96">
        <v>576</v>
      </c>
      <c r="AD59" s="96">
        <v>432</v>
      </c>
      <c r="AE59" s="96">
        <v>478</v>
      </c>
      <c r="AF59" s="416">
        <v>1903</v>
      </c>
    </row>
    <row r="60" spans="2:32" s="66" customFormat="1" ht="12" customHeight="1">
      <c r="B60" s="216" t="s">
        <v>79</v>
      </c>
      <c r="C60" s="72"/>
      <c r="D60" s="145">
        <v>1160</v>
      </c>
      <c r="E60" s="96">
        <v>1137</v>
      </c>
      <c r="F60" s="96">
        <v>1166</v>
      </c>
      <c r="G60" s="96">
        <v>1241</v>
      </c>
      <c r="H60" s="96">
        <v>4704</v>
      </c>
      <c r="I60" s="575"/>
      <c r="J60" s="96">
        <v>1179</v>
      </c>
      <c r="K60" s="96">
        <v>1118</v>
      </c>
      <c r="L60" s="96">
        <v>1172</v>
      </c>
      <c r="M60" s="96">
        <v>1237</v>
      </c>
      <c r="N60" s="96">
        <v>4706</v>
      </c>
      <c r="O60" s="575"/>
      <c r="P60" s="96">
        <v>1128</v>
      </c>
      <c r="Q60" s="96">
        <v>1178</v>
      </c>
      <c r="R60" s="96">
        <v>1152</v>
      </c>
      <c r="S60" s="96">
        <v>1214</v>
      </c>
      <c r="T60" s="96">
        <v>4672</v>
      </c>
      <c r="U60" s="575"/>
      <c r="V60" s="96">
        <v>1173</v>
      </c>
      <c r="W60" s="96">
        <v>1235</v>
      </c>
      <c r="X60" s="96">
        <v>1210</v>
      </c>
      <c r="Y60" s="96">
        <v>1338</v>
      </c>
      <c r="Z60" s="96">
        <f t="shared" si="16"/>
        <v>4956</v>
      </c>
      <c r="AA60" s="575"/>
      <c r="AB60" s="96">
        <v>1223</v>
      </c>
      <c r="AC60" s="96">
        <v>1357</v>
      </c>
      <c r="AD60" s="96">
        <v>1290</v>
      </c>
      <c r="AE60" s="96">
        <v>1332</v>
      </c>
      <c r="AF60" s="416">
        <v>5202</v>
      </c>
    </row>
    <row r="61" spans="2:32" s="66" customFormat="1" ht="12" customHeight="1">
      <c r="B61" s="216" t="s">
        <v>80</v>
      </c>
      <c r="C61" s="72"/>
      <c r="D61" s="145">
        <v>1950</v>
      </c>
      <c r="E61" s="96">
        <v>1794</v>
      </c>
      <c r="F61" s="96">
        <v>1995</v>
      </c>
      <c r="G61" s="96">
        <v>1868</v>
      </c>
      <c r="H61" s="96">
        <v>7607</v>
      </c>
      <c r="I61" s="575"/>
      <c r="J61" s="96">
        <v>1755</v>
      </c>
      <c r="K61" s="96">
        <v>1949</v>
      </c>
      <c r="L61" s="96">
        <v>1673</v>
      </c>
      <c r="M61" s="96">
        <v>1887</v>
      </c>
      <c r="N61" s="96">
        <v>7264</v>
      </c>
      <c r="O61" s="575"/>
      <c r="P61" s="96">
        <v>1780</v>
      </c>
      <c r="Q61" s="96">
        <v>1819</v>
      </c>
      <c r="R61" s="96">
        <v>1550</v>
      </c>
      <c r="S61" s="96">
        <v>1886</v>
      </c>
      <c r="T61" s="96">
        <v>7035</v>
      </c>
      <c r="U61" s="575"/>
      <c r="V61" s="96">
        <v>1770</v>
      </c>
      <c r="W61" s="96">
        <v>1844</v>
      </c>
      <c r="X61" s="96">
        <v>1972</v>
      </c>
      <c r="Y61" s="96">
        <v>1874</v>
      </c>
      <c r="Z61" s="96">
        <f t="shared" si="16"/>
        <v>7460</v>
      </c>
      <c r="AA61" s="575"/>
      <c r="AB61" s="96">
        <v>1821</v>
      </c>
      <c r="AC61" s="96">
        <v>1558</v>
      </c>
      <c r="AD61" s="96">
        <v>1711</v>
      </c>
      <c r="AE61" s="96">
        <v>2007</v>
      </c>
      <c r="AF61" s="416">
        <v>7097</v>
      </c>
    </row>
    <row r="62" spans="2:32" s="66" customFormat="1" ht="12" customHeight="1">
      <c r="B62" s="216" t="s">
        <v>81</v>
      </c>
      <c r="C62" s="72"/>
      <c r="D62" s="145">
        <v>451</v>
      </c>
      <c r="E62" s="96">
        <v>433</v>
      </c>
      <c r="F62" s="96">
        <v>453</v>
      </c>
      <c r="G62" s="96">
        <v>476</v>
      </c>
      <c r="H62" s="96">
        <v>1813</v>
      </c>
      <c r="I62" s="575"/>
      <c r="J62" s="96">
        <v>418</v>
      </c>
      <c r="K62" s="96">
        <v>532</v>
      </c>
      <c r="L62" s="96">
        <v>545</v>
      </c>
      <c r="M62" s="96">
        <v>615</v>
      </c>
      <c r="N62" s="96">
        <v>2110</v>
      </c>
      <c r="O62" s="575"/>
      <c r="P62" s="96">
        <v>479</v>
      </c>
      <c r="Q62" s="96">
        <v>550</v>
      </c>
      <c r="R62" s="96">
        <v>524</v>
      </c>
      <c r="S62" s="96">
        <v>639</v>
      </c>
      <c r="T62" s="96">
        <v>2192</v>
      </c>
      <c r="U62" s="575"/>
      <c r="V62" s="96">
        <v>455</v>
      </c>
      <c r="W62" s="96">
        <v>594</v>
      </c>
      <c r="X62" s="96">
        <v>481</v>
      </c>
      <c r="Y62" s="96">
        <v>626</v>
      </c>
      <c r="Z62" s="96">
        <f t="shared" si="16"/>
        <v>2156</v>
      </c>
      <c r="AA62" s="575"/>
      <c r="AB62" s="96">
        <v>509</v>
      </c>
      <c r="AC62" s="96">
        <v>522</v>
      </c>
      <c r="AD62" s="96">
        <v>690</v>
      </c>
      <c r="AE62" s="96">
        <v>683</v>
      </c>
      <c r="AF62" s="416">
        <v>2404</v>
      </c>
    </row>
    <row r="63" spans="2:32" s="66" customFormat="1" ht="12" customHeight="1">
      <c r="B63" s="216" t="s">
        <v>82</v>
      </c>
      <c r="C63" s="72"/>
      <c r="D63" s="145">
        <v>395</v>
      </c>
      <c r="E63" s="96">
        <v>353</v>
      </c>
      <c r="F63" s="96">
        <v>383</v>
      </c>
      <c r="G63" s="96">
        <v>389</v>
      </c>
      <c r="H63" s="96">
        <v>1520</v>
      </c>
      <c r="I63" s="575"/>
      <c r="J63" s="96">
        <v>393</v>
      </c>
      <c r="K63" s="96">
        <v>417</v>
      </c>
      <c r="L63" s="96">
        <v>325</v>
      </c>
      <c r="M63" s="96">
        <v>304</v>
      </c>
      <c r="N63" s="96">
        <v>1439</v>
      </c>
      <c r="O63" s="575"/>
      <c r="P63" s="96">
        <v>293</v>
      </c>
      <c r="Q63" s="96">
        <v>313</v>
      </c>
      <c r="R63" s="96">
        <v>336</v>
      </c>
      <c r="S63" s="96">
        <v>396</v>
      </c>
      <c r="T63" s="96">
        <v>1338</v>
      </c>
      <c r="U63" s="575"/>
      <c r="V63" s="96">
        <v>466</v>
      </c>
      <c r="W63" s="96">
        <v>405</v>
      </c>
      <c r="X63" s="96">
        <v>438</v>
      </c>
      <c r="Y63" s="96">
        <v>456</v>
      </c>
      <c r="Z63" s="96">
        <f t="shared" si="16"/>
        <v>1765</v>
      </c>
      <c r="AA63" s="575"/>
      <c r="AB63" s="96">
        <v>434</v>
      </c>
      <c r="AC63" s="96">
        <v>466</v>
      </c>
      <c r="AD63" s="96">
        <v>397</v>
      </c>
      <c r="AE63" s="96">
        <v>374</v>
      </c>
      <c r="AF63" s="416">
        <v>1671</v>
      </c>
    </row>
    <row r="64" spans="2:32" s="66" customFormat="1" ht="12" customHeight="1">
      <c r="B64" s="216" t="s">
        <v>83</v>
      </c>
      <c r="C64" s="72"/>
      <c r="D64" s="145">
        <v>134</v>
      </c>
      <c r="E64" s="96">
        <v>103</v>
      </c>
      <c r="F64" s="96">
        <v>123</v>
      </c>
      <c r="G64" s="96">
        <v>128</v>
      </c>
      <c r="H64" s="96">
        <v>488</v>
      </c>
      <c r="I64" s="575"/>
      <c r="J64" s="96">
        <v>140</v>
      </c>
      <c r="K64" s="96">
        <v>109</v>
      </c>
      <c r="L64" s="96">
        <v>132</v>
      </c>
      <c r="M64" s="96">
        <v>123</v>
      </c>
      <c r="N64" s="96">
        <v>504</v>
      </c>
      <c r="O64" s="575"/>
      <c r="P64" s="96">
        <v>128</v>
      </c>
      <c r="Q64" s="96">
        <v>127</v>
      </c>
      <c r="R64" s="96">
        <v>119</v>
      </c>
      <c r="S64" s="96">
        <v>125</v>
      </c>
      <c r="T64" s="96">
        <v>499</v>
      </c>
      <c r="U64" s="575"/>
      <c r="V64" s="96">
        <v>136</v>
      </c>
      <c r="W64" s="96">
        <v>125</v>
      </c>
      <c r="X64" s="96">
        <v>127</v>
      </c>
      <c r="Y64" s="96">
        <v>118</v>
      </c>
      <c r="Z64" s="96">
        <f t="shared" si="16"/>
        <v>506</v>
      </c>
      <c r="AA64" s="575"/>
      <c r="AB64" s="96">
        <v>140</v>
      </c>
      <c r="AC64" s="96">
        <v>138</v>
      </c>
      <c r="AD64" s="96">
        <v>127</v>
      </c>
      <c r="AE64" s="96">
        <v>130</v>
      </c>
      <c r="AF64" s="416">
        <v>535</v>
      </c>
    </row>
    <row r="65" spans="2:32" s="66" customFormat="1" ht="24" customHeight="1">
      <c r="B65" s="71" t="s">
        <v>84</v>
      </c>
      <c r="C65" s="72"/>
      <c r="D65" s="145">
        <v>0</v>
      </c>
      <c r="E65" s="96">
        <v>0</v>
      </c>
      <c r="F65" s="96">
        <v>1</v>
      </c>
      <c r="G65" s="128">
        <v>42</v>
      </c>
      <c r="H65" s="96">
        <v>43</v>
      </c>
      <c r="I65" s="575"/>
      <c r="J65" s="96">
        <v>0</v>
      </c>
      <c r="K65" s="96">
        <v>0</v>
      </c>
      <c r="L65" s="96">
        <v>26</v>
      </c>
      <c r="M65" s="96">
        <v>2391</v>
      </c>
      <c r="N65" s="96">
        <v>2417</v>
      </c>
      <c r="O65" s="575"/>
      <c r="P65" s="96">
        <v>0</v>
      </c>
      <c r="Q65" s="96">
        <v>0</v>
      </c>
      <c r="R65" s="96">
        <v>0</v>
      </c>
      <c r="S65" s="96">
        <v>269</v>
      </c>
      <c r="T65" s="96">
        <v>269</v>
      </c>
      <c r="U65" s="575"/>
      <c r="V65" s="96">
        <v>0</v>
      </c>
      <c r="W65" s="96">
        <v>0</v>
      </c>
      <c r="X65" s="96">
        <v>0</v>
      </c>
      <c r="Y65" s="96">
        <v>-344</v>
      </c>
      <c r="Z65" s="96">
        <f t="shared" si="16"/>
        <v>-344</v>
      </c>
      <c r="AA65" s="575"/>
      <c r="AB65" s="96">
        <v>0</v>
      </c>
      <c r="AC65" s="96">
        <v>0</v>
      </c>
      <c r="AD65" s="96">
        <v>0</v>
      </c>
      <c r="AE65" s="96">
        <v>9</v>
      </c>
      <c r="AF65" s="416">
        <f>-26+35</f>
        <v>9</v>
      </c>
    </row>
    <row r="66" spans="2:32" s="66" customFormat="1" ht="12" customHeight="1">
      <c r="B66" s="216" t="s">
        <v>85</v>
      </c>
      <c r="C66" s="72"/>
      <c r="D66" s="145">
        <v>35</v>
      </c>
      <c r="E66" s="96">
        <v>68</v>
      </c>
      <c r="F66" s="96">
        <v>64</v>
      </c>
      <c r="G66" s="128">
        <v>136</v>
      </c>
      <c r="H66" s="96">
        <v>303</v>
      </c>
      <c r="I66" s="575"/>
      <c r="J66" s="96">
        <v>50</v>
      </c>
      <c r="K66" s="96">
        <v>126</v>
      </c>
      <c r="L66" s="96">
        <v>80</v>
      </c>
      <c r="M66" s="96">
        <v>115</v>
      </c>
      <c r="N66" s="96">
        <v>371</v>
      </c>
      <c r="O66" s="575"/>
      <c r="P66" s="96">
        <v>43</v>
      </c>
      <c r="Q66" s="96">
        <v>64</v>
      </c>
      <c r="R66" s="96">
        <v>95</v>
      </c>
      <c r="S66" s="96">
        <v>72</v>
      </c>
      <c r="T66" s="96">
        <v>274</v>
      </c>
      <c r="U66" s="575"/>
      <c r="V66" s="96">
        <v>52</v>
      </c>
      <c r="W66" s="96">
        <v>62</v>
      </c>
      <c r="X66" s="96">
        <v>48</v>
      </c>
      <c r="Y66" s="96">
        <v>178</v>
      </c>
      <c r="Z66" s="96">
        <f t="shared" si="16"/>
        <v>340</v>
      </c>
      <c r="AA66" s="575"/>
      <c r="AB66" s="96">
        <v>52</v>
      </c>
      <c r="AC66" s="96">
        <v>51</v>
      </c>
      <c r="AD66" s="96">
        <v>62</v>
      </c>
      <c r="AE66" s="96">
        <v>54</v>
      </c>
      <c r="AF66" s="416">
        <v>219</v>
      </c>
    </row>
    <row r="67" spans="2:32" s="66" customFormat="1" ht="12" customHeight="1">
      <c r="B67" s="639" t="s">
        <v>86</v>
      </c>
      <c r="C67" s="129"/>
      <c r="D67" s="158">
        <f>SUM(D59:D66)</f>
        <v>4526</v>
      </c>
      <c r="E67" s="130">
        <f>SUM(E59:E66)</f>
        <v>4280</v>
      </c>
      <c r="F67" s="130">
        <f>SUM(F59:F66)</f>
        <v>4588</v>
      </c>
      <c r="G67" s="130">
        <f>SUM(G59:G66)</f>
        <v>4719</v>
      </c>
      <c r="H67" s="130">
        <f>SUM(H59:H66)</f>
        <v>18113</v>
      </c>
      <c r="I67" s="585"/>
      <c r="J67" s="130">
        <f>SUM(J59:J66)</f>
        <v>4499</v>
      </c>
      <c r="K67" s="130">
        <f>SUM(K59:K66)</f>
        <v>4767</v>
      </c>
      <c r="L67" s="130">
        <f>SUM(L59:L66)</f>
        <v>4439</v>
      </c>
      <c r="M67" s="130">
        <f>SUM(M59:M66)</f>
        <v>7121</v>
      </c>
      <c r="N67" s="130">
        <f>SUM(N59:N66)</f>
        <v>20826</v>
      </c>
      <c r="O67" s="585"/>
      <c r="P67" s="130">
        <f aca="true" t="shared" si="17" ref="P67:Y67">SUM(P59:P66)</f>
        <v>4255</v>
      </c>
      <c r="Q67" s="130">
        <f t="shared" si="17"/>
        <v>4476</v>
      </c>
      <c r="R67" s="130">
        <f t="shared" si="17"/>
        <v>4211</v>
      </c>
      <c r="S67" s="130">
        <f t="shared" si="17"/>
        <v>5055</v>
      </c>
      <c r="T67" s="130">
        <f t="shared" si="17"/>
        <v>17997</v>
      </c>
      <c r="U67" s="585"/>
      <c r="V67" s="130">
        <f t="shared" si="17"/>
        <v>4457</v>
      </c>
      <c r="W67" s="130">
        <f t="shared" si="17"/>
        <v>4693</v>
      </c>
      <c r="X67" s="130">
        <f t="shared" si="17"/>
        <v>4680</v>
      </c>
      <c r="Y67" s="130">
        <f t="shared" si="17"/>
        <v>4693</v>
      </c>
      <c r="Z67" s="130">
        <f t="shared" si="16"/>
        <v>18523</v>
      </c>
      <c r="AA67" s="585"/>
      <c r="AB67" s="130">
        <f>SUM(AB59:AB66)</f>
        <v>4596</v>
      </c>
      <c r="AC67" s="130">
        <f>SUM(AC59:AC66)</f>
        <v>4668</v>
      </c>
      <c r="AD67" s="130">
        <f>SUM(AD59:AD66)</f>
        <v>4709</v>
      </c>
      <c r="AE67" s="130">
        <f>SUM(AE59:AE66)</f>
        <v>5067</v>
      </c>
      <c r="AF67" s="421">
        <f>SUM(AF59:AF66)</f>
        <v>19040</v>
      </c>
    </row>
    <row r="68" spans="2:32" s="66" customFormat="1" ht="12" customHeight="1">
      <c r="B68" s="216" t="s">
        <v>87</v>
      </c>
      <c r="C68" s="72"/>
      <c r="D68" s="145">
        <v>111</v>
      </c>
      <c r="E68" s="96">
        <v>142</v>
      </c>
      <c r="F68" s="96">
        <v>130</v>
      </c>
      <c r="G68" s="96">
        <v>151</v>
      </c>
      <c r="H68" s="96">
        <v>534</v>
      </c>
      <c r="I68" s="575"/>
      <c r="J68" s="96">
        <v>117</v>
      </c>
      <c r="K68" s="96">
        <v>126</v>
      </c>
      <c r="L68" s="96">
        <v>146</v>
      </c>
      <c r="M68" s="96">
        <v>116</v>
      </c>
      <c r="N68" s="96">
        <v>505</v>
      </c>
      <c r="O68" s="575"/>
      <c r="P68" s="96">
        <v>90</v>
      </c>
      <c r="Q68" s="96">
        <v>122</v>
      </c>
      <c r="R68" s="96">
        <v>105</v>
      </c>
      <c r="S68" s="96">
        <v>119</v>
      </c>
      <c r="T68" s="96">
        <v>436</v>
      </c>
      <c r="U68" s="575"/>
      <c r="V68" s="96">
        <v>160</v>
      </c>
      <c r="W68" s="96">
        <v>133</v>
      </c>
      <c r="X68" s="96">
        <v>144</v>
      </c>
      <c r="Y68" s="96">
        <v>134</v>
      </c>
      <c r="Z68" s="96">
        <f t="shared" si="16"/>
        <v>571</v>
      </c>
      <c r="AA68" s="575"/>
      <c r="AB68" s="96">
        <v>163</v>
      </c>
      <c r="AC68" s="96">
        <v>179</v>
      </c>
      <c r="AD68" s="96">
        <v>180</v>
      </c>
      <c r="AE68" s="96">
        <v>131</v>
      </c>
      <c r="AF68" s="416">
        <v>653</v>
      </c>
    </row>
    <row r="69" spans="2:32" s="66" customFormat="1" ht="12" customHeight="1">
      <c r="B69" s="216" t="s">
        <v>88</v>
      </c>
      <c r="C69" s="72"/>
      <c r="D69" s="145">
        <v>-315</v>
      </c>
      <c r="E69" s="96">
        <v>-119</v>
      </c>
      <c r="F69" s="96">
        <v>-59</v>
      </c>
      <c r="G69" s="96">
        <v>498</v>
      </c>
      <c r="H69" s="96">
        <v>5</v>
      </c>
      <c r="I69" s="575"/>
      <c r="J69" s="96">
        <v>-253</v>
      </c>
      <c r="K69" s="96">
        <v>-192</v>
      </c>
      <c r="L69" s="96">
        <v>141</v>
      </c>
      <c r="M69" s="96">
        <v>300</v>
      </c>
      <c r="N69" s="96">
        <v>-4</v>
      </c>
      <c r="O69" s="575"/>
      <c r="P69" s="96">
        <v>-573</v>
      </c>
      <c r="Q69" s="96">
        <v>-226</v>
      </c>
      <c r="R69" s="96">
        <v>18</v>
      </c>
      <c r="S69" s="96">
        <v>556</v>
      </c>
      <c r="T69" s="96">
        <v>-225</v>
      </c>
      <c r="U69" s="575"/>
      <c r="V69" s="96">
        <v>-531</v>
      </c>
      <c r="W69" s="96">
        <v>-314</v>
      </c>
      <c r="X69" s="96">
        <v>-613</v>
      </c>
      <c r="Y69" s="96">
        <v>379</v>
      </c>
      <c r="Z69" s="96">
        <f t="shared" si="16"/>
        <v>-1079</v>
      </c>
      <c r="AA69" s="575"/>
      <c r="AB69" s="96">
        <v>-836</v>
      </c>
      <c r="AC69" s="96">
        <v>-76</v>
      </c>
      <c r="AD69" s="96">
        <v>142</v>
      </c>
      <c r="AE69" s="96">
        <v>395</v>
      </c>
      <c r="AF69" s="416">
        <v>-375</v>
      </c>
    </row>
    <row r="70" spans="2:32" s="66" customFormat="1" ht="24" customHeight="1">
      <c r="B70" s="216" t="s">
        <v>89</v>
      </c>
      <c r="C70" s="72"/>
      <c r="D70" s="145">
        <v>-333</v>
      </c>
      <c r="E70" s="96">
        <v>-333</v>
      </c>
      <c r="F70" s="96">
        <v>-393</v>
      </c>
      <c r="G70" s="96">
        <v>-454</v>
      </c>
      <c r="H70" s="96">
        <v>-1513</v>
      </c>
      <c r="I70" s="575"/>
      <c r="J70" s="96">
        <v>-355</v>
      </c>
      <c r="K70" s="96">
        <v>-415</v>
      </c>
      <c r="L70" s="96">
        <v>-434</v>
      </c>
      <c r="M70" s="96">
        <v>-621</v>
      </c>
      <c r="N70" s="96">
        <v>-1825</v>
      </c>
      <c r="O70" s="575"/>
      <c r="P70" s="96">
        <v>-350</v>
      </c>
      <c r="Q70" s="96">
        <v>-456</v>
      </c>
      <c r="R70" s="96">
        <v>-344</v>
      </c>
      <c r="S70" s="96">
        <v>-446</v>
      </c>
      <c r="T70" s="96">
        <v>-1596</v>
      </c>
      <c r="U70" s="575"/>
      <c r="V70" s="96">
        <v>-249</v>
      </c>
      <c r="W70" s="96">
        <v>-513</v>
      </c>
      <c r="X70" s="96">
        <v>-301</v>
      </c>
      <c r="Y70" s="96">
        <v>-405</v>
      </c>
      <c r="Z70" s="96">
        <f t="shared" si="16"/>
        <v>-1468</v>
      </c>
      <c r="AA70" s="575"/>
      <c r="AB70" s="96">
        <v>-316</v>
      </c>
      <c r="AC70" s="96">
        <v>-307</v>
      </c>
      <c r="AD70" s="96">
        <v>-314</v>
      </c>
      <c r="AE70" s="96">
        <v>-446</v>
      </c>
      <c r="AF70" s="416">
        <v>-1383</v>
      </c>
    </row>
    <row r="71" spans="2:32" s="66" customFormat="1" ht="24" customHeight="1">
      <c r="B71" s="306" t="s">
        <v>90</v>
      </c>
      <c r="C71" s="129"/>
      <c r="D71" s="158">
        <f>SUM(D67:D70)</f>
        <v>3989</v>
      </c>
      <c r="E71" s="130">
        <f>SUM(E67:E70)</f>
        <v>3970</v>
      </c>
      <c r="F71" s="130">
        <f>SUM(F67:F70)</f>
        <v>4266</v>
      </c>
      <c r="G71" s="130">
        <f>SUM(G67:G70)</f>
        <v>4914</v>
      </c>
      <c r="H71" s="130">
        <f>SUM(H67:H70)</f>
        <v>17139</v>
      </c>
      <c r="I71" s="586"/>
      <c r="J71" s="130">
        <f>SUM(J67:J70)</f>
        <v>4008</v>
      </c>
      <c r="K71" s="130">
        <f>SUM(K67:K70)</f>
        <v>4286</v>
      </c>
      <c r="L71" s="130">
        <f>SUM(L67:L70)</f>
        <v>4292</v>
      </c>
      <c r="M71" s="130">
        <f>SUM(M67:M70)</f>
        <v>6916</v>
      </c>
      <c r="N71" s="130">
        <f>SUM(N67:N70)</f>
        <v>19502</v>
      </c>
      <c r="O71" s="586"/>
      <c r="P71" s="130">
        <f aca="true" t="shared" si="18" ref="P71:Y71">SUM(P67:P70)</f>
        <v>3422</v>
      </c>
      <c r="Q71" s="130">
        <f t="shared" si="18"/>
        <v>3916</v>
      </c>
      <c r="R71" s="130">
        <f t="shared" si="18"/>
        <v>3990</v>
      </c>
      <c r="S71" s="130">
        <f t="shared" si="18"/>
        <v>5284</v>
      </c>
      <c r="T71" s="130">
        <f t="shared" si="18"/>
        <v>16612</v>
      </c>
      <c r="U71" s="586"/>
      <c r="V71" s="130">
        <f t="shared" si="18"/>
        <v>3837</v>
      </c>
      <c r="W71" s="130">
        <f t="shared" si="18"/>
        <v>3999</v>
      </c>
      <c r="X71" s="130">
        <f t="shared" si="18"/>
        <v>3910</v>
      </c>
      <c r="Y71" s="130">
        <f t="shared" si="18"/>
        <v>4801</v>
      </c>
      <c r="Z71" s="130">
        <f t="shared" si="16"/>
        <v>16547</v>
      </c>
      <c r="AA71" s="586"/>
      <c r="AB71" s="130">
        <f>SUM(AB67:AB70)</f>
        <v>3607</v>
      </c>
      <c r="AC71" s="130">
        <f>SUM(AC67:AC70)</f>
        <v>4464</v>
      </c>
      <c r="AD71" s="130">
        <f>SUM(AD67:AD70)</f>
        <v>4717</v>
      </c>
      <c r="AE71" s="130">
        <f>SUM(AE67:AE70)</f>
        <v>5147</v>
      </c>
      <c r="AF71" s="421">
        <f>AF67+AF68+AF69+AF70</f>
        <v>17935</v>
      </c>
    </row>
    <row r="72" spans="1:31" ht="11.25" customHeight="1">
      <c r="A72" s="131"/>
      <c r="B72" s="131"/>
      <c r="C72" s="129"/>
      <c r="D72" s="66"/>
      <c r="E72" s="132"/>
      <c r="F72" s="66"/>
      <c r="T72" s="66"/>
      <c r="V72" s="66"/>
      <c r="W72" s="66"/>
      <c r="X72" s="66"/>
      <c r="Y72" s="66"/>
      <c r="Z72" s="66"/>
      <c r="AB72" s="66"/>
      <c r="AC72" s="66"/>
      <c r="AD72" s="66"/>
      <c r="AE72" s="66"/>
    </row>
    <row r="74" ht="11.25">
      <c r="A74" s="79" t="s">
        <v>91</v>
      </c>
    </row>
  </sheetData>
  <sheetProtection/>
  <printOptions horizontalCentered="1"/>
  <pageMargins left="0.7874015748031497" right="0.7874015748031497" top="1.299212598425197" bottom="0.984251968503937" header="0.5118110236220472" footer="0.5118110236220472"/>
  <pageSetup fitToHeight="1" fitToWidth="1" horizontalDpi="1200" verticalDpi="1200" orientation="portrait" paperSize="8" scale="46" r:id="rId1"/>
  <ignoredErrors>
    <ignoredError sqref="AC21:AD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41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B15" sqref="AB15"/>
    </sheetView>
  </sheetViews>
  <sheetFormatPr defaultColWidth="9.140625" defaultRowHeight="12.75"/>
  <cols>
    <col min="1" max="1" width="55.421875" style="48" customWidth="1"/>
    <col min="2" max="2" width="0.9921875" style="49" customWidth="1"/>
    <col min="3" max="3" width="8.8515625" style="481" customWidth="1"/>
    <col min="4" max="4" width="0.85546875" style="482" customWidth="1"/>
    <col min="5" max="8" width="8.8515625" style="482" customWidth="1"/>
    <col min="9" max="9" width="8.8515625" style="481" customWidth="1"/>
    <col min="10" max="10" width="0.85546875" style="482" customWidth="1"/>
    <col min="11" max="14" width="8.8515625" style="482" customWidth="1"/>
    <col min="15" max="15" width="8.8515625" style="481" customWidth="1"/>
    <col min="16" max="16" width="0.85546875" style="482" customWidth="1"/>
    <col min="17" max="20" width="8.8515625" style="482" customWidth="1"/>
    <col min="21" max="21" width="8.8515625" style="481" customWidth="1"/>
    <col min="22" max="22" width="0.85546875" style="482" customWidth="1"/>
    <col min="23" max="26" width="8.8515625" style="482" customWidth="1"/>
    <col min="27" max="27" width="8.8515625" style="481" customWidth="1"/>
    <col min="28" max="16384" width="9.140625" style="48" customWidth="1"/>
  </cols>
  <sheetData>
    <row r="1" spans="1:2" ht="15.75">
      <c r="A1" s="62" t="s">
        <v>92</v>
      </c>
      <c r="B1" s="63"/>
    </row>
    <row r="2" spans="1:27" ht="15" customHeight="1">
      <c r="A2" s="12"/>
      <c r="B2" s="13"/>
      <c r="C2" s="14">
        <v>2014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18</v>
      </c>
      <c r="K2" s="14" t="s">
        <v>8</v>
      </c>
      <c r="L2" s="14" t="s">
        <v>9</v>
      </c>
      <c r="M2" s="14" t="s">
        <v>10</v>
      </c>
      <c r="N2" s="14" t="s">
        <v>11</v>
      </c>
      <c r="O2" s="14" t="s">
        <v>19</v>
      </c>
      <c r="Q2" s="14" t="s">
        <v>16</v>
      </c>
      <c r="R2" s="14" t="s">
        <v>17</v>
      </c>
      <c r="S2" s="14" t="s">
        <v>20</v>
      </c>
      <c r="T2" s="14" t="s">
        <v>21</v>
      </c>
      <c r="U2" s="14">
        <v>2017</v>
      </c>
      <c r="W2" s="14" t="s">
        <v>28</v>
      </c>
      <c r="X2" s="14" t="s">
        <v>30</v>
      </c>
      <c r="Y2" s="14" t="s">
        <v>35</v>
      </c>
      <c r="Z2" s="14" t="s">
        <v>38</v>
      </c>
      <c r="AA2" s="14">
        <v>2018</v>
      </c>
    </row>
    <row r="3" spans="1:27" s="490" customFormat="1" ht="12" customHeight="1">
      <c r="A3" s="15" t="s">
        <v>68</v>
      </c>
      <c r="B3" s="16"/>
      <c r="C3" s="20">
        <v>3098</v>
      </c>
      <c r="D3" s="481"/>
      <c r="E3" s="20">
        <v>577</v>
      </c>
      <c r="F3" s="17">
        <v>1116</v>
      </c>
      <c r="G3" s="17">
        <v>147</v>
      </c>
      <c r="H3" s="17">
        <v>-6962</v>
      </c>
      <c r="I3" s="17">
        <v>-5122</v>
      </c>
      <c r="J3" s="481"/>
      <c r="K3" s="20">
        <v>343</v>
      </c>
      <c r="L3" s="17">
        <v>340</v>
      </c>
      <c r="M3" s="17">
        <v>531</v>
      </c>
      <c r="N3" s="17">
        <v>-5015</v>
      </c>
      <c r="O3" s="17">
        <v>-3801</v>
      </c>
      <c r="P3" s="481"/>
      <c r="Q3" s="20">
        <v>1031</v>
      </c>
      <c r="R3" s="17">
        <v>618</v>
      </c>
      <c r="S3" s="17">
        <v>787</v>
      </c>
      <c r="T3" s="17">
        <v>-137</v>
      </c>
      <c r="U3" s="17">
        <v>2299</v>
      </c>
      <c r="V3" s="481"/>
      <c r="W3" s="20">
        <v>661</v>
      </c>
      <c r="X3" s="17">
        <v>323</v>
      </c>
      <c r="Y3" s="17">
        <v>608</v>
      </c>
      <c r="Z3" s="17">
        <v>874</v>
      </c>
      <c r="AA3" s="484">
        <v>2466</v>
      </c>
    </row>
    <row r="4" spans="1:27" ht="12" customHeight="1">
      <c r="A4" s="22" t="s">
        <v>71</v>
      </c>
      <c r="B4" s="23"/>
      <c r="C4" s="27">
        <v>1635</v>
      </c>
      <c r="E4" s="27">
        <v>564</v>
      </c>
      <c r="F4" s="24">
        <v>380</v>
      </c>
      <c r="G4" s="24">
        <v>530</v>
      </c>
      <c r="H4" s="24">
        <v>469</v>
      </c>
      <c r="I4" s="24">
        <v>1943</v>
      </c>
      <c r="K4" s="27">
        <v>397</v>
      </c>
      <c r="L4" s="24">
        <v>413</v>
      </c>
      <c r="M4" s="24">
        <v>431</v>
      </c>
      <c r="N4" s="24">
        <v>457</v>
      </c>
      <c r="O4" s="24">
        <v>1698</v>
      </c>
      <c r="Q4" s="27">
        <v>371</v>
      </c>
      <c r="R4" s="24">
        <v>401</v>
      </c>
      <c r="S4" s="24">
        <v>383</v>
      </c>
      <c r="T4" s="24">
        <v>454</v>
      </c>
      <c r="U4" s="24">
        <v>1609</v>
      </c>
      <c r="W4" s="27">
        <v>350</v>
      </c>
      <c r="X4" s="24">
        <v>514</v>
      </c>
      <c r="Y4" s="24">
        <v>452</v>
      </c>
      <c r="Z4" s="24">
        <v>480</v>
      </c>
      <c r="AA4" s="486">
        <v>1796</v>
      </c>
    </row>
    <row r="5" spans="1:27" ht="12" customHeight="1">
      <c r="A5" s="22" t="s">
        <v>93</v>
      </c>
      <c r="B5" s="23"/>
      <c r="C5" s="27">
        <v>252</v>
      </c>
      <c r="E5" s="27">
        <v>0</v>
      </c>
      <c r="F5" s="24">
        <v>1</v>
      </c>
      <c r="G5" s="24">
        <v>312</v>
      </c>
      <c r="H5" s="24">
        <v>4144</v>
      </c>
      <c r="I5" s="24">
        <v>4457</v>
      </c>
      <c r="K5" s="27">
        <v>221</v>
      </c>
      <c r="L5" s="24">
        <v>255</v>
      </c>
      <c r="M5" s="24">
        <v>351</v>
      </c>
      <c r="N5" s="24">
        <v>373</v>
      </c>
      <c r="O5" s="24">
        <v>1200</v>
      </c>
      <c r="Q5" s="27">
        <v>0</v>
      </c>
      <c r="R5" s="24">
        <v>215</v>
      </c>
      <c r="S5" s="24">
        <v>0</v>
      </c>
      <c r="T5" s="24">
        <v>259</v>
      </c>
      <c r="U5" s="24">
        <v>474</v>
      </c>
      <c r="W5" s="27">
        <v>0</v>
      </c>
      <c r="X5" s="24">
        <v>254</v>
      </c>
      <c r="Y5" s="24">
        <v>4</v>
      </c>
      <c r="Z5" s="24">
        <v>404</v>
      </c>
      <c r="AA5" s="486">
        <v>662</v>
      </c>
    </row>
    <row r="6" spans="1:27" ht="12" customHeight="1">
      <c r="A6" s="640" t="s">
        <v>58</v>
      </c>
      <c r="B6" s="28"/>
      <c r="C6" s="27">
        <v>15</v>
      </c>
      <c r="E6" s="27">
        <v>0</v>
      </c>
      <c r="F6" s="24">
        <v>0</v>
      </c>
      <c r="G6" s="24">
        <v>0</v>
      </c>
      <c r="H6" s="24">
        <v>671</v>
      </c>
      <c r="I6" s="24">
        <v>671</v>
      </c>
      <c r="K6" s="27">
        <v>0</v>
      </c>
      <c r="L6" s="24">
        <v>0</v>
      </c>
      <c r="M6" s="24">
        <v>0</v>
      </c>
      <c r="N6" s="24">
        <v>0</v>
      </c>
      <c r="O6" s="24">
        <v>0</v>
      </c>
      <c r="Q6" s="27">
        <v>0</v>
      </c>
      <c r="R6" s="24">
        <v>0</v>
      </c>
      <c r="S6" s="24">
        <v>0</v>
      </c>
      <c r="T6" s="24">
        <v>0</v>
      </c>
      <c r="U6" s="24">
        <v>0</v>
      </c>
      <c r="W6" s="27">
        <v>0</v>
      </c>
      <c r="X6" s="24">
        <v>0</v>
      </c>
      <c r="Y6" s="24">
        <v>0</v>
      </c>
      <c r="Z6" s="24">
        <v>0</v>
      </c>
      <c r="AA6" s="486">
        <v>0</v>
      </c>
    </row>
    <row r="7" spans="1:27" ht="24" customHeight="1">
      <c r="A7" s="641" t="s">
        <v>94</v>
      </c>
      <c r="B7" s="29"/>
      <c r="C7" s="27">
        <v>0</v>
      </c>
      <c r="E7" s="27">
        <v>0</v>
      </c>
      <c r="F7" s="24">
        <v>0</v>
      </c>
      <c r="G7" s="24">
        <v>0</v>
      </c>
      <c r="H7" s="24">
        <v>0</v>
      </c>
      <c r="I7" s="24">
        <v>0</v>
      </c>
      <c r="K7" s="27">
        <v>0</v>
      </c>
      <c r="L7" s="24">
        <v>0</v>
      </c>
      <c r="M7" s="24">
        <v>0</v>
      </c>
      <c r="N7" s="24">
        <v>4394</v>
      </c>
      <c r="O7" s="24">
        <v>4394</v>
      </c>
      <c r="Q7" s="27">
        <v>0</v>
      </c>
      <c r="R7" s="24">
        <v>0</v>
      </c>
      <c r="S7" s="24">
        <v>0</v>
      </c>
      <c r="T7" s="24">
        <v>0</v>
      </c>
      <c r="U7" s="24">
        <v>0</v>
      </c>
      <c r="W7" s="27">
        <v>0</v>
      </c>
      <c r="X7" s="24">
        <v>0</v>
      </c>
      <c r="Y7" s="24">
        <v>0</v>
      </c>
      <c r="Z7" s="24">
        <v>-733</v>
      </c>
      <c r="AA7" s="489">
        <v>-733</v>
      </c>
    </row>
    <row r="8" spans="1:27" ht="12" customHeight="1">
      <c r="A8" s="22" t="s">
        <v>95</v>
      </c>
      <c r="B8" s="23"/>
      <c r="C8" s="27">
        <v>-282</v>
      </c>
      <c r="E8" s="27">
        <v>-82</v>
      </c>
      <c r="F8" s="24">
        <v>-95</v>
      </c>
      <c r="G8" s="24">
        <v>-142</v>
      </c>
      <c r="H8" s="24">
        <v>-147</v>
      </c>
      <c r="I8" s="24">
        <v>-466</v>
      </c>
      <c r="K8" s="27">
        <v>-153</v>
      </c>
      <c r="L8" s="24">
        <v>-153</v>
      </c>
      <c r="M8" s="24">
        <v>-159</v>
      </c>
      <c r="N8" s="24">
        <v>-168</v>
      </c>
      <c r="O8" s="24">
        <v>-633</v>
      </c>
      <c r="Q8" s="27">
        <v>-82</v>
      </c>
      <c r="R8" s="24">
        <v>-79</v>
      </c>
      <c r="S8" s="24">
        <v>-79</v>
      </c>
      <c r="T8" s="24">
        <v>-79</v>
      </c>
      <c r="U8" s="24">
        <v>-319</v>
      </c>
      <c r="W8" s="27">
        <v>-81</v>
      </c>
      <c r="X8" s="24">
        <v>-45</v>
      </c>
      <c r="Y8" s="24">
        <v>-66</v>
      </c>
      <c r="Z8" s="24">
        <v>-65</v>
      </c>
      <c r="AA8" s="486">
        <v>-257</v>
      </c>
    </row>
    <row r="9" spans="1:27" ht="12" customHeight="1">
      <c r="A9" s="22" t="s">
        <v>96</v>
      </c>
      <c r="B9" s="23"/>
      <c r="C9" s="27">
        <v>142</v>
      </c>
      <c r="E9" s="27">
        <v>53</v>
      </c>
      <c r="F9" s="24">
        <v>88</v>
      </c>
      <c r="G9" s="24">
        <v>31</v>
      </c>
      <c r="H9" s="24">
        <v>29</v>
      </c>
      <c r="I9" s="24">
        <v>201</v>
      </c>
      <c r="K9" s="27">
        <v>29</v>
      </c>
      <c r="L9" s="24">
        <v>30</v>
      </c>
      <c r="M9" s="24">
        <v>44</v>
      </c>
      <c r="N9" s="24">
        <v>49</v>
      </c>
      <c r="O9" s="24">
        <v>152</v>
      </c>
      <c r="Q9" s="27">
        <v>44</v>
      </c>
      <c r="R9" s="24">
        <v>34</v>
      </c>
      <c r="S9" s="24">
        <v>35</v>
      </c>
      <c r="T9" s="24">
        <v>35</v>
      </c>
      <c r="U9" s="24">
        <v>148</v>
      </c>
      <c r="W9" s="27">
        <v>34</v>
      </c>
      <c r="X9" s="24">
        <v>36</v>
      </c>
      <c r="Y9" s="24">
        <v>52</v>
      </c>
      <c r="Z9" s="24">
        <v>-13</v>
      </c>
      <c r="AA9" s="486">
        <v>109</v>
      </c>
    </row>
    <row r="10" spans="1:27" ht="12" customHeight="1">
      <c r="A10" s="31" t="s">
        <v>97</v>
      </c>
      <c r="B10" s="32"/>
      <c r="C10" s="27">
        <v>66</v>
      </c>
      <c r="E10" s="27">
        <v>0</v>
      </c>
      <c r="F10" s="24">
        <v>3</v>
      </c>
      <c r="G10" s="24">
        <v>211</v>
      </c>
      <c r="H10" s="24">
        <v>2756</v>
      </c>
      <c r="I10" s="24">
        <v>2970</v>
      </c>
      <c r="K10" s="27">
        <v>57</v>
      </c>
      <c r="L10" s="24">
        <v>9</v>
      </c>
      <c r="M10" s="24">
        <v>5</v>
      </c>
      <c r="N10" s="24">
        <v>1461</v>
      </c>
      <c r="O10" s="24">
        <v>1532</v>
      </c>
      <c r="Q10" s="27">
        <v>0</v>
      </c>
      <c r="R10" s="24">
        <v>1</v>
      </c>
      <c r="S10" s="24">
        <v>0</v>
      </c>
      <c r="T10" s="24">
        <v>502</v>
      </c>
      <c r="U10" s="24">
        <v>503</v>
      </c>
      <c r="W10" s="27">
        <v>10</v>
      </c>
      <c r="X10" s="24">
        <v>4</v>
      </c>
      <c r="Y10" s="24">
        <v>0</v>
      </c>
      <c r="Z10" s="24">
        <v>55</v>
      </c>
      <c r="AA10" s="486">
        <v>69</v>
      </c>
    </row>
    <row r="11" spans="1:27" ht="12" customHeight="1">
      <c r="A11" s="448" t="s">
        <v>98</v>
      </c>
      <c r="B11" s="23"/>
      <c r="C11" s="27">
        <v>272</v>
      </c>
      <c r="E11" s="27">
        <v>240</v>
      </c>
      <c r="F11" s="24">
        <v>-446</v>
      </c>
      <c r="G11" s="24">
        <v>91</v>
      </c>
      <c r="H11" s="24">
        <v>-17</v>
      </c>
      <c r="I11" s="24">
        <v>-132</v>
      </c>
      <c r="K11" s="27">
        <v>-254</v>
      </c>
      <c r="L11" s="24">
        <v>163</v>
      </c>
      <c r="M11" s="24">
        <v>-96</v>
      </c>
      <c r="N11" s="24">
        <v>-18</v>
      </c>
      <c r="O11" s="24">
        <v>-205</v>
      </c>
      <c r="Q11" s="27">
        <v>7</v>
      </c>
      <c r="R11" s="24">
        <v>-129</v>
      </c>
      <c r="S11" s="24">
        <v>144</v>
      </c>
      <c r="T11" s="24">
        <v>297</v>
      </c>
      <c r="U11" s="24">
        <f>210-25+202-68</f>
        <v>319</v>
      </c>
      <c r="W11" s="27">
        <v>84</v>
      </c>
      <c r="X11" s="24">
        <v>13</v>
      </c>
      <c r="Y11" s="24">
        <v>19</v>
      </c>
      <c r="Z11" s="24">
        <v>33</v>
      </c>
      <c r="AA11" s="489">
        <f>-36+244-121+62</f>
        <v>149</v>
      </c>
    </row>
    <row r="12" spans="1:27" s="490" customFormat="1" ht="12" customHeight="1">
      <c r="A12" s="15" t="s">
        <v>99</v>
      </c>
      <c r="B12" s="16"/>
      <c r="C12" s="20">
        <f>SUM(C4:C11)</f>
        <v>2100</v>
      </c>
      <c r="D12" s="481"/>
      <c r="E12" s="20">
        <f>SUM(E4:E11)</f>
        <v>775</v>
      </c>
      <c r="F12" s="17">
        <f>SUM(F4:F11)</f>
        <v>-69</v>
      </c>
      <c r="G12" s="17">
        <f>SUM(G4:G11)</f>
        <v>1033</v>
      </c>
      <c r="H12" s="17">
        <f>SUM(H4:H11)</f>
        <v>7905</v>
      </c>
      <c r="I12" s="17">
        <f>SUM(I4:I11)</f>
        <v>9644</v>
      </c>
      <c r="J12" s="481"/>
      <c r="K12" s="20">
        <f>SUM(K4:K11)</f>
        <v>297</v>
      </c>
      <c r="L12" s="17">
        <f>SUM(L4:L11)</f>
        <v>717</v>
      </c>
      <c r="M12" s="17">
        <f>SUM(M4:M11)</f>
        <v>576</v>
      </c>
      <c r="N12" s="17">
        <f>SUM(N4:N11)</f>
        <v>6548</v>
      </c>
      <c r="O12" s="17">
        <f>SUM(O4:O11)</f>
        <v>8138</v>
      </c>
      <c r="P12" s="481"/>
      <c r="Q12" s="20">
        <f>SUM(Q4:Q11)</f>
        <v>340</v>
      </c>
      <c r="R12" s="17">
        <f>SUM(R4:R11)</f>
        <v>443</v>
      </c>
      <c r="S12" s="17">
        <f>SUM(S4:S11)</f>
        <v>483</v>
      </c>
      <c r="T12" s="17">
        <f>SUM(T4:T11)</f>
        <v>1468</v>
      </c>
      <c r="U12" s="17">
        <f>SUM(U4:U11)</f>
        <v>2734</v>
      </c>
      <c r="V12" s="481"/>
      <c r="W12" s="20">
        <f>SUM(W4:W11)</f>
        <v>397</v>
      </c>
      <c r="X12" s="17">
        <f>SUM(X4:X11)</f>
        <v>776</v>
      </c>
      <c r="Y12" s="17">
        <f>Y4+Y5+Y6+Y7+Y8+Y9+Y10+Y11</f>
        <v>461</v>
      </c>
      <c r="Z12" s="17">
        <f>Z4+Z5+Z6+Z7+Z8+Z9+Z10+Z11</f>
        <v>161</v>
      </c>
      <c r="AA12" s="485">
        <f>AA4+AA5+AA6+AA7+AA8+AA9+AA10+AA11</f>
        <v>1795</v>
      </c>
    </row>
    <row r="13" spans="1:27" ht="12" customHeight="1">
      <c r="A13" s="33" t="s">
        <v>100</v>
      </c>
      <c r="B13" s="34"/>
      <c r="C13" s="27">
        <v>-868</v>
      </c>
      <c r="E13" s="27">
        <v>-237</v>
      </c>
      <c r="F13" s="24">
        <v>-219</v>
      </c>
      <c r="G13" s="24">
        <v>-235</v>
      </c>
      <c r="H13" s="24">
        <v>-234</v>
      </c>
      <c r="I13" s="24">
        <v>-925</v>
      </c>
      <c r="K13" s="27">
        <v>-62</v>
      </c>
      <c r="L13" s="24">
        <v>-65</v>
      </c>
      <c r="M13" s="24">
        <v>-208</v>
      </c>
      <c r="N13" s="24">
        <v>-116</v>
      </c>
      <c r="O13" s="24">
        <v>-451</v>
      </c>
      <c r="Q13" s="27">
        <v>-416</v>
      </c>
      <c r="R13" s="24">
        <v>-287</v>
      </c>
      <c r="S13" s="24">
        <v>-115</v>
      </c>
      <c r="T13" s="24">
        <v>-165</v>
      </c>
      <c r="U13" s="24">
        <v>-983</v>
      </c>
      <c r="W13" s="27">
        <v>-167</v>
      </c>
      <c r="X13" s="24">
        <v>-246</v>
      </c>
      <c r="Y13" s="24">
        <v>-194</v>
      </c>
      <c r="Z13" s="24">
        <v>-195</v>
      </c>
      <c r="AA13" s="486">
        <v>-802</v>
      </c>
    </row>
    <row r="14" spans="1:27" ht="12" customHeight="1">
      <c r="A14" s="33" t="s">
        <v>101</v>
      </c>
      <c r="B14" s="34"/>
      <c r="C14" s="27">
        <v>519</v>
      </c>
      <c r="E14" s="27">
        <v>93</v>
      </c>
      <c r="F14" s="24">
        <v>393</v>
      </c>
      <c r="G14" s="24">
        <v>19</v>
      </c>
      <c r="H14" s="24">
        <v>61</v>
      </c>
      <c r="I14" s="24">
        <v>566</v>
      </c>
      <c r="K14" s="27">
        <v>6</v>
      </c>
      <c r="L14" s="24">
        <v>-245</v>
      </c>
      <c r="M14" s="24">
        <v>50</v>
      </c>
      <c r="N14" s="24">
        <v>515</v>
      </c>
      <c r="O14" s="24">
        <v>326</v>
      </c>
      <c r="Q14" s="27">
        <v>-497</v>
      </c>
      <c r="R14" s="24">
        <v>-40</v>
      </c>
      <c r="S14" s="24">
        <v>-609</v>
      </c>
      <c r="T14" s="24">
        <v>150</v>
      </c>
      <c r="U14" s="24">
        <v>-996</v>
      </c>
      <c r="W14" s="27">
        <v>-902</v>
      </c>
      <c r="X14" s="24">
        <v>-138</v>
      </c>
      <c r="Y14" s="24">
        <v>243</v>
      </c>
      <c r="Z14" s="24">
        <v>1164</v>
      </c>
      <c r="AA14" s="487">
        <v>367</v>
      </c>
    </row>
    <row r="15" spans="1:27" ht="12" customHeight="1">
      <c r="A15" s="36" t="s">
        <v>102</v>
      </c>
      <c r="B15" s="37"/>
      <c r="C15" s="20">
        <f>C3+C12+C13+C14</f>
        <v>4849</v>
      </c>
      <c r="E15" s="20">
        <f>E3+E12+E13+E14</f>
        <v>1208</v>
      </c>
      <c r="F15" s="17">
        <f>F3+F12+F13+F14</f>
        <v>1221</v>
      </c>
      <c r="G15" s="17">
        <f>G3+G12+G13+G14</f>
        <v>964</v>
      </c>
      <c r="H15" s="17">
        <f>H3+H12+H13+H14</f>
        <v>770</v>
      </c>
      <c r="I15" s="17">
        <f>I3+I12+I13+I14</f>
        <v>4163</v>
      </c>
      <c r="K15" s="20">
        <f>K3+K12+K13+K14</f>
        <v>584</v>
      </c>
      <c r="L15" s="17">
        <f>L3+L12+L13+L14</f>
        <v>747</v>
      </c>
      <c r="M15" s="17">
        <f>M3+M12+M13+M14</f>
        <v>949</v>
      </c>
      <c r="N15" s="17">
        <f>N3+N12+N13+N14</f>
        <v>1932</v>
      </c>
      <c r="O15" s="17">
        <f>O3+O12+O13+O14</f>
        <v>4212</v>
      </c>
      <c r="Q15" s="20">
        <f>Q3+Q12+Q13+Q14</f>
        <v>458</v>
      </c>
      <c r="R15" s="17">
        <f>R3+R12+R13+R14</f>
        <v>734</v>
      </c>
      <c r="S15" s="17">
        <f>S3+S12+S13+S14</f>
        <v>546</v>
      </c>
      <c r="T15" s="17">
        <f>T3+T12+T13+T14</f>
        <v>1316</v>
      </c>
      <c r="U15" s="17">
        <f>U3+U12+U13+U14</f>
        <v>3054</v>
      </c>
      <c r="W15" s="20">
        <f>W3+W12+W13+W14</f>
        <v>-11</v>
      </c>
      <c r="X15" s="17">
        <f>X3+X12+X13+X14</f>
        <v>715</v>
      </c>
      <c r="Y15" s="17">
        <f>Y3+Y12+Y13+Y14</f>
        <v>1118</v>
      </c>
      <c r="Z15" s="17">
        <f>Z3+Z12+Z13+Z14</f>
        <v>2004</v>
      </c>
      <c r="AA15" s="485">
        <f>AA3+AA12+AA13+AA14</f>
        <v>3826</v>
      </c>
    </row>
    <row r="16" spans="1:27" ht="12" customHeight="1">
      <c r="A16" s="38"/>
      <c r="B16" s="16"/>
      <c r="C16" s="40"/>
      <c r="E16" s="40"/>
      <c r="F16" s="39"/>
      <c r="G16" s="39"/>
      <c r="H16" s="39"/>
      <c r="I16" s="39"/>
      <c r="K16" s="40"/>
      <c r="L16" s="39"/>
      <c r="M16" s="39"/>
      <c r="N16" s="39"/>
      <c r="O16" s="39"/>
      <c r="Q16" s="40"/>
      <c r="R16" s="39"/>
      <c r="S16" s="39"/>
      <c r="T16" s="39"/>
      <c r="U16" s="39"/>
      <c r="W16" s="40"/>
      <c r="X16" s="39"/>
      <c r="Y16" s="39"/>
      <c r="Z16" s="39"/>
      <c r="AA16" s="488"/>
    </row>
    <row r="17" spans="1:27" ht="12" customHeight="1">
      <c r="A17" s="41" t="s">
        <v>103</v>
      </c>
      <c r="B17" s="23"/>
      <c r="C17" s="43">
        <v>-3112</v>
      </c>
      <c r="E17" s="43">
        <v>-801</v>
      </c>
      <c r="F17" s="42">
        <v>-803</v>
      </c>
      <c r="G17" s="42">
        <v>-897</v>
      </c>
      <c r="H17" s="42">
        <v>-1052</v>
      </c>
      <c r="I17" s="42">
        <v>-3553</v>
      </c>
      <c r="K17" s="43">
        <v>-878</v>
      </c>
      <c r="L17" s="42">
        <v>-802</v>
      </c>
      <c r="M17" s="42">
        <v>-640</v>
      </c>
      <c r="N17" s="42">
        <v>-712</v>
      </c>
      <c r="O17" s="42">
        <v>-3032</v>
      </c>
      <c r="Q17" s="43">
        <v>-562</v>
      </c>
      <c r="R17" s="42">
        <v>-549</v>
      </c>
      <c r="S17" s="42">
        <v>-532</v>
      </c>
      <c r="T17" s="42">
        <v>-884</v>
      </c>
      <c r="U17" s="42">
        <v>-2527</v>
      </c>
      <c r="W17" s="43">
        <v>-601</v>
      </c>
      <c r="X17" s="42">
        <v>-552</v>
      </c>
      <c r="Y17" s="42">
        <v>-591</v>
      </c>
      <c r="Z17" s="42">
        <v>-865</v>
      </c>
      <c r="AA17" s="489">
        <v>-2609</v>
      </c>
    </row>
    <row r="18" spans="1:27" ht="12" customHeight="1">
      <c r="A18" s="22" t="s">
        <v>104</v>
      </c>
      <c r="B18" s="23"/>
      <c r="C18" s="27">
        <v>-322</v>
      </c>
      <c r="E18" s="27">
        <v>-89</v>
      </c>
      <c r="F18" s="24">
        <v>-54</v>
      </c>
      <c r="G18" s="24">
        <v>-77</v>
      </c>
      <c r="H18" s="24">
        <v>-166</v>
      </c>
      <c r="I18" s="24">
        <v>-386</v>
      </c>
      <c r="K18" s="27">
        <v>-92</v>
      </c>
      <c r="L18" s="24">
        <v>-14</v>
      </c>
      <c r="M18" s="24">
        <v>-57</v>
      </c>
      <c r="N18" s="24">
        <v>-56</v>
      </c>
      <c r="O18" s="24">
        <v>-219</v>
      </c>
      <c r="Q18" s="27">
        <v>-53</v>
      </c>
      <c r="R18" s="24">
        <v>-44</v>
      </c>
      <c r="S18" s="24">
        <v>-64</v>
      </c>
      <c r="T18" s="24">
        <v>-108</v>
      </c>
      <c r="U18" s="24">
        <v>-269</v>
      </c>
      <c r="W18" s="27">
        <v>-74</v>
      </c>
      <c r="X18" s="24">
        <v>-47</v>
      </c>
      <c r="Y18" s="24">
        <v>-53</v>
      </c>
      <c r="Z18" s="24">
        <v>-92</v>
      </c>
      <c r="AA18" s="486">
        <v>-266</v>
      </c>
    </row>
    <row r="19" spans="1:27" ht="12" customHeight="1">
      <c r="A19" s="22" t="s">
        <v>105</v>
      </c>
      <c r="B19" s="23"/>
      <c r="C19" s="27">
        <v>-1628</v>
      </c>
      <c r="E19" s="27">
        <v>0</v>
      </c>
      <c r="F19" s="24">
        <v>0</v>
      </c>
      <c r="G19" s="24">
        <v>0</v>
      </c>
      <c r="H19" s="24">
        <v>0</v>
      </c>
      <c r="I19" s="24">
        <v>0</v>
      </c>
      <c r="K19" s="27">
        <v>0</v>
      </c>
      <c r="L19" s="24">
        <v>0</v>
      </c>
      <c r="M19" s="24">
        <v>0</v>
      </c>
      <c r="N19" s="24">
        <v>0</v>
      </c>
      <c r="O19" s="24">
        <v>0</v>
      </c>
      <c r="Q19" s="27">
        <v>0</v>
      </c>
      <c r="R19" s="24">
        <v>0</v>
      </c>
      <c r="S19" s="24">
        <v>0</v>
      </c>
      <c r="T19" s="24">
        <v>0</v>
      </c>
      <c r="U19" s="24">
        <v>0</v>
      </c>
      <c r="W19" s="27">
        <v>0</v>
      </c>
      <c r="X19" s="24">
        <v>0</v>
      </c>
      <c r="Y19" s="24">
        <v>0</v>
      </c>
      <c r="Z19" s="24">
        <v>0</v>
      </c>
      <c r="AA19" s="486">
        <v>0</v>
      </c>
    </row>
    <row r="20" spans="1:27" ht="12" customHeight="1">
      <c r="A20" s="22" t="s">
        <v>106</v>
      </c>
      <c r="B20" s="23"/>
      <c r="C20" s="27">
        <v>-502</v>
      </c>
      <c r="E20" s="27">
        <v>-206</v>
      </c>
      <c r="F20" s="24">
        <v>-163</v>
      </c>
      <c r="G20" s="24">
        <v>-239</v>
      </c>
      <c r="H20" s="24">
        <v>-320</v>
      </c>
      <c r="I20" s="24">
        <v>-928</v>
      </c>
      <c r="K20" s="27">
        <v>-173</v>
      </c>
      <c r="L20" s="24">
        <v>-65</v>
      </c>
      <c r="M20" s="24">
        <v>-97</v>
      </c>
      <c r="N20" s="24">
        <v>-336</v>
      </c>
      <c r="O20" s="24">
        <v>-671</v>
      </c>
      <c r="Q20" s="27">
        <v>0</v>
      </c>
      <c r="R20" s="24">
        <v>-206</v>
      </c>
      <c r="S20" s="24">
        <v>0</v>
      </c>
      <c r="T20" s="24">
        <v>-255</v>
      </c>
      <c r="U20" s="24">
        <v>-461</v>
      </c>
      <c r="W20" s="27">
        <v>0</v>
      </c>
      <c r="X20" s="24">
        <v>-262</v>
      </c>
      <c r="Y20" s="24">
        <v>0</v>
      </c>
      <c r="Z20" s="24">
        <v>-404</v>
      </c>
      <c r="AA20" s="487">
        <v>-666</v>
      </c>
    </row>
    <row r="21" spans="1:27" ht="12" customHeight="1">
      <c r="A21" s="22" t="s">
        <v>107</v>
      </c>
      <c r="B21" s="23"/>
      <c r="C21" s="27">
        <v>20</v>
      </c>
      <c r="D21" s="482">
        <v>-61</v>
      </c>
      <c r="E21" s="27">
        <v>-15</v>
      </c>
      <c r="F21" s="24">
        <v>-43</v>
      </c>
      <c r="G21" s="24">
        <v>10</v>
      </c>
      <c r="H21" s="24">
        <v>9</v>
      </c>
      <c r="I21" s="24">
        <v>-39</v>
      </c>
      <c r="K21" s="27">
        <v>-35</v>
      </c>
      <c r="L21" s="24">
        <v>8</v>
      </c>
      <c r="M21" s="24">
        <v>-13</v>
      </c>
      <c r="N21" s="24">
        <v>14</v>
      </c>
      <c r="O21" s="24">
        <v>-26</v>
      </c>
      <c r="Q21" s="27">
        <v>-35</v>
      </c>
      <c r="R21" s="24">
        <v>2</v>
      </c>
      <c r="S21" s="24">
        <v>-33</v>
      </c>
      <c r="T21" s="24">
        <v>-17</v>
      </c>
      <c r="U21" s="24">
        <f>-123+40</f>
        <v>-83</v>
      </c>
      <c r="W21" s="27">
        <v>-3</v>
      </c>
      <c r="X21" s="24">
        <v>26</v>
      </c>
      <c r="Y21" s="24">
        <v>-14</v>
      </c>
      <c r="Z21" s="24">
        <v>-7</v>
      </c>
      <c r="AA21" s="486">
        <f>-83+85</f>
        <v>2</v>
      </c>
    </row>
    <row r="22" spans="1:27" ht="12" customHeight="1">
      <c r="A22" s="36" t="s">
        <v>108</v>
      </c>
      <c r="B22" s="37"/>
      <c r="C22" s="20">
        <f>SUM(C17:C21)</f>
        <v>-5544</v>
      </c>
      <c r="E22" s="20">
        <f>SUM(E17:E21)</f>
        <v>-1111</v>
      </c>
      <c r="F22" s="17">
        <f>SUM(F17:F21)</f>
        <v>-1063</v>
      </c>
      <c r="G22" s="17">
        <f>SUM(G17:G21)</f>
        <v>-1203</v>
      </c>
      <c r="H22" s="17">
        <f>SUM(H17:H21)</f>
        <v>-1529</v>
      </c>
      <c r="I22" s="17">
        <f>SUM(I17:I21)</f>
        <v>-4906</v>
      </c>
      <c r="K22" s="20">
        <f>SUM(K17:K21)</f>
        <v>-1178</v>
      </c>
      <c r="L22" s="17">
        <f>SUM(L17:L21)</f>
        <v>-873</v>
      </c>
      <c r="M22" s="17">
        <f>SUM(M17:M21)</f>
        <v>-807</v>
      </c>
      <c r="N22" s="17">
        <f>SUM(N17:N21)</f>
        <v>-1090</v>
      </c>
      <c r="O22" s="17">
        <f>SUM(O17:O21)</f>
        <v>-3948</v>
      </c>
      <c r="Q22" s="20">
        <f>SUM(Q17:Q21)</f>
        <v>-650</v>
      </c>
      <c r="R22" s="17">
        <f>SUM(R17:R21)</f>
        <v>-797</v>
      </c>
      <c r="S22" s="17">
        <f>SUM(S17:S21)</f>
        <v>-629</v>
      </c>
      <c r="T22" s="17">
        <f>SUM(T17:T21)</f>
        <v>-1264</v>
      </c>
      <c r="U22" s="17">
        <f>SUM(U17:U21)</f>
        <v>-3340</v>
      </c>
      <c r="W22" s="20">
        <f>SUM(W17:W21)</f>
        <v>-678</v>
      </c>
      <c r="X22" s="17">
        <f>SUM(X17:X21)</f>
        <v>-835</v>
      </c>
      <c r="Y22" s="17">
        <f>Y17+Y18+Y19+Y20+Y21</f>
        <v>-658</v>
      </c>
      <c r="Z22" s="17">
        <f>Z17+Z18+Z19+Z20+Z21</f>
        <v>-1368</v>
      </c>
      <c r="AA22" s="485">
        <f>AA17+AA18+AA19+AA20+AA21</f>
        <v>-3539</v>
      </c>
    </row>
    <row r="23" spans="1:27" ht="12" customHeight="1">
      <c r="A23" s="38"/>
      <c r="B23" s="16"/>
      <c r="C23" s="40"/>
      <c r="E23" s="40"/>
      <c r="F23" s="39"/>
      <c r="G23" s="39"/>
      <c r="H23" s="39"/>
      <c r="I23" s="39"/>
      <c r="K23" s="40"/>
      <c r="L23" s="39"/>
      <c r="M23" s="39"/>
      <c r="N23" s="39"/>
      <c r="O23" s="39"/>
      <c r="Q23" s="40"/>
      <c r="R23" s="39"/>
      <c r="S23" s="39"/>
      <c r="T23" s="39"/>
      <c r="U23" s="39"/>
      <c r="W23" s="40"/>
      <c r="X23" s="39"/>
      <c r="Y23" s="39"/>
      <c r="Z23" s="591"/>
      <c r="AA23" s="488"/>
    </row>
    <row r="24" spans="1:27" ht="12" customHeight="1">
      <c r="A24" s="41" t="s">
        <v>109</v>
      </c>
      <c r="B24" s="23"/>
      <c r="C24" s="43">
        <v>2641</v>
      </c>
      <c r="E24" s="43">
        <v>1147</v>
      </c>
      <c r="F24" s="42">
        <v>2264</v>
      </c>
      <c r="G24" s="42">
        <v>670</v>
      </c>
      <c r="H24" s="42">
        <v>907</v>
      </c>
      <c r="I24" s="42">
        <v>4988</v>
      </c>
      <c r="K24" s="43">
        <v>1048</v>
      </c>
      <c r="L24" s="42">
        <v>932</v>
      </c>
      <c r="M24" s="42">
        <v>916</v>
      </c>
      <c r="N24" s="42">
        <v>370</v>
      </c>
      <c r="O24" s="42">
        <v>3266</v>
      </c>
      <c r="Q24" s="43">
        <v>762</v>
      </c>
      <c r="R24" s="42">
        <v>685</v>
      </c>
      <c r="S24" s="42">
        <v>198</v>
      </c>
      <c r="T24" s="42">
        <v>797</v>
      </c>
      <c r="U24" s="42">
        <v>2442</v>
      </c>
      <c r="W24" s="43">
        <v>1131</v>
      </c>
      <c r="X24" s="42">
        <v>934</v>
      </c>
      <c r="Y24" s="42">
        <v>0</v>
      </c>
      <c r="Z24" s="42">
        <v>211</v>
      </c>
      <c r="AA24" s="489">
        <v>2276</v>
      </c>
    </row>
    <row r="25" spans="1:27" ht="12" customHeight="1">
      <c r="A25" s="22" t="s">
        <v>110</v>
      </c>
      <c r="B25" s="23"/>
      <c r="C25" s="27">
        <v>-1240</v>
      </c>
      <c r="E25" s="27">
        <v>-760</v>
      </c>
      <c r="F25" s="24">
        <v>-1876</v>
      </c>
      <c r="G25" s="24">
        <v>-254</v>
      </c>
      <c r="H25" s="24">
        <v>-206</v>
      </c>
      <c r="I25" s="24">
        <v>-3096</v>
      </c>
      <c r="K25" s="27">
        <v>-335</v>
      </c>
      <c r="L25" s="24">
        <v>-661</v>
      </c>
      <c r="M25" s="24">
        <v>-825</v>
      </c>
      <c r="N25" s="24">
        <v>-880</v>
      </c>
      <c r="O25" s="24">
        <v>-2701</v>
      </c>
      <c r="Q25" s="27">
        <v>-746</v>
      </c>
      <c r="R25" s="24">
        <v>-786</v>
      </c>
      <c r="S25" s="24">
        <v>-6</v>
      </c>
      <c r="T25" s="24">
        <v>-534</v>
      </c>
      <c r="U25" s="24">
        <v>-2072</v>
      </c>
      <c r="W25" s="27">
        <v>-492</v>
      </c>
      <c r="X25" s="24">
        <v>-673</v>
      </c>
      <c r="Y25" s="24">
        <v>-256</v>
      </c>
      <c r="Z25" s="24">
        <v>-689</v>
      </c>
      <c r="AA25" s="486">
        <v>-2110</v>
      </c>
    </row>
    <row r="26" spans="1:27" ht="12" customHeight="1">
      <c r="A26" s="22" t="s">
        <v>111</v>
      </c>
      <c r="B26" s="23"/>
      <c r="C26" s="27">
        <v>-1000</v>
      </c>
      <c r="E26" s="27">
        <v>0</v>
      </c>
      <c r="F26" s="24">
        <v>-400</v>
      </c>
      <c r="G26" s="24">
        <v>0</v>
      </c>
      <c r="H26" s="24">
        <v>-400</v>
      </c>
      <c r="I26" s="24">
        <v>-800</v>
      </c>
      <c r="K26" s="27">
        <v>0</v>
      </c>
      <c r="L26" s="24">
        <v>0</v>
      </c>
      <c r="M26" s="24">
        <v>-150</v>
      </c>
      <c r="N26" s="24">
        <v>-150</v>
      </c>
      <c r="O26" s="24">
        <v>-300</v>
      </c>
      <c r="Q26" s="27">
        <v>0</v>
      </c>
      <c r="R26" s="24">
        <v>0</v>
      </c>
      <c r="S26" s="24">
        <v>-100</v>
      </c>
      <c r="T26" s="24">
        <v>-100</v>
      </c>
      <c r="U26" s="24">
        <v>-200</v>
      </c>
      <c r="W26" s="27">
        <v>0</v>
      </c>
      <c r="X26" s="24">
        <v>0</v>
      </c>
      <c r="Y26" s="24">
        <v>0</v>
      </c>
      <c r="Z26" s="24">
        <v>0</v>
      </c>
      <c r="AA26" s="486">
        <v>0</v>
      </c>
    </row>
    <row r="27" spans="1:27" ht="12" customHeight="1">
      <c r="A27" s="22" t="s">
        <v>96</v>
      </c>
      <c r="B27" s="23"/>
      <c r="C27" s="27">
        <v>-136</v>
      </c>
      <c r="E27" s="27">
        <v>-17</v>
      </c>
      <c r="F27" s="24">
        <v>-162</v>
      </c>
      <c r="G27" s="24">
        <v>-29</v>
      </c>
      <c r="H27" s="24">
        <v>-24</v>
      </c>
      <c r="I27" s="24">
        <v>-232</v>
      </c>
      <c r="K27" s="27">
        <v>-28</v>
      </c>
      <c r="L27" s="24">
        <v>-27</v>
      </c>
      <c r="M27" s="24">
        <v>-43</v>
      </c>
      <c r="N27" s="24">
        <v>-46</v>
      </c>
      <c r="O27" s="24">
        <v>-144</v>
      </c>
      <c r="Q27" s="27">
        <v>-42</v>
      </c>
      <c r="R27" s="24">
        <v>-39</v>
      </c>
      <c r="S27" s="24">
        <v>-37</v>
      </c>
      <c r="T27" s="24">
        <v>-39</v>
      </c>
      <c r="U27" s="24">
        <v>-157</v>
      </c>
      <c r="W27" s="27">
        <v>-32</v>
      </c>
      <c r="X27" s="24">
        <v>-38</v>
      </c>
      <c r="Y27" s="24">
        <v>-46</v>
      </c>
      <c r="Z27" s="24">
        <v>-3</v>
      </c>
      <c r="AA27" s="486">
        <v>-119</v>
      </c>
    </row>
    <row r="28" spans="1:27" ht="12" customHeight="1">
      <c r="A28" s="22" t="s">
        <v>113</v>
      </c>
      <c r="B28" s="23"/>
      <c r="C28" s="27">
        <v>-17</v>
      </c>
      <c r="E28" s="27">
        <v>7</v>
      </c>
      <c r="F28" s="24">
        <v>3</v>
      </c>
      <c r="G28" s="24">
        <v>4</v>
      </c>
      <c r="H28" s="24">
        <v>-10</v>
      </c>
      <c r="I28" s="24">
        <v>4</v>
      </c>
      <c r="K28" s="27">
        <v>-3</v>
      </c>
      <c r="L28" s="24">
        <v>12</v>
      </c>
      <c r="M28" s="24">
        <v>0</v>
      </c>
      <c r="N28" s="24">
        <v>3</v>
      </c>
      <c r="O28" s="24">
        <v>12</v>
      </c>
      <c r="Q28" s="27">
        <v>0</v>
      </c>
      <c r="R28" s="24">
        <v>2</v>
      </c>
      <c r="S28" s="24">
        <v>1</v>
      </c>
      <c r="T28" s="24">
        <v>2</v>
      </c>
      <c r="U28" s="24">
        <f>6-1</f>
        <v>5</v>
      </c>
      <c r="W28" s="27">
        <v>1</v>
      </c>
      <c r="X28" s="24">
        <v>1</v>
      </c>
      <c r="Y28" s="24">
        <v>1</v>
      </c>
      <c r="Z28" s="24">
        <v>16</v>
      </c>
      <c r="AA28" s="489">
        <v>19</v>
      </c>
    </row>
    <row r="29" spans="1:27" ht="12" customHeight="1">
      <c r="A29" s="36" t="s">
        <v>112</v>
      </c>
      <c r="B29" s="37"/>
      <c r="C29" s="20">
        <f aca="true" t="shared" si="0" ref="C29:I29">SUM(C24:C28)</f>
        <v>248</v>
      </c>
      <c r="D29" s="482">
        <f t="shared" si="0"/>
        <v>0</v>
      </c>
      <c r="E29" s="20">
        <f t="shared" si="0"/>
        <v>377</v>
      </c>
      <c r="F29" s="17">
        <f t="shared" si="0"/>
        <v>-171</v>
      </c>
      <c r="G29" s="17">
        <f t="shared" si="0"/>
        <v>391</v>
      </c>
      <c r="H29" s="17">
        <f t="shared" si="0"/>
        <v>267</v>
      </c>
      <c r="I29" s="17">
        <f t="shared" si="0"/>
        <v>864</v>
      </c>
      <c r="K29" s="20">
        <f>SUM(K24:K28)</f>
        <v>682</v>
      </c>
      <c r="L29" s="17">
        <f>SUM(L24:L28)</f>
        <v>256</v>
      </c>
      <c r="M29" s="17">
        <f>SUM(M24:M28)</f>
        <v>-102</v>
      </c>
      <c r="N29" s="17">
        <f>SUM(N24:N28)</f>
        <v>-703</v>
      </c>
      <c r="O29" s="17">
        <f>SUM(O24:O28)</f>
        <v>133</v>
      </c>
      <c r="Q29" s="20">
        <f>SUM(Q24:Q28)</f>
        <v>-26</v>
      </c>
      <c r="R29" s="17">
        <f>SUM(R24:R28)</f>
        <v>-138</v>
      </c>
      <c r="S29" s="17">
        <f>SUM(S23:S28)</f>
        <v>56</v>
      </c>
      <c r="T29" s="17">
        <f>SUM(T23:T28)</f>
        <v>126</v>
      </c>
      <c r="U29" s="17">
        <f>SUM(U24:U28)</f>
        <v>18</v>
      </c>
      <c r="W29" s="20">
        <f>SUM(W24:W28)</f>
        <v>608</v>
      </c>
      <c r="X29" s="17">
        <f>SUM(X24:X28)</f>
        <v>224</v>
      </c>
      <c r="Y29" s="17">
        <f>Y24+Y25+Y26+Y27+Y28</f>
        <v>-301</v>
      </c>
      <c r="Z29" s="17">
        <f>Z24+Z25+Z26+Z27+Z28</f>
        <v>-465</v>
      </c>
      <c r="AA29" s="485">
        <f>AA24+AA25+AA26+AA27+AA28</f>
        <v>66</v>
      </c>
    </row>
    <row r="30" spans="1:27" ht="12" customHeight="1">
      <c r="A30" s="44"/>
      <c r="B30" s="37"/>
      <c r="C30" s="40"/>
      <c r="E30" s="40"/>
      <c r="F30" s="39"/>
      <c r="G30" s="39"/>
      <c r="H30" s="39"/>
      <c r="I30" s="39"/>
      <c r="K30" s="40"/>
      <c r="L30" s="39"/>
      <c r="M30" s="39"/>
      <c r="N30" s="39"/>
      <c r="O30" s="39"/>
      <c r="Q30" s="40"/>
      <c r="R30" s="39"/>
      <c r="S30" s="39"/>
      <c r="T30" s="39"/>
      <c r="U30" s="39"/>
      <c r="W30" s="40"/>
      <c r="X30" s="39"/>
      <c r="Y30" s="39"/>
      <c r="Z30" s="39"/>
      <c r="AA30" s="488"/>
    </row>
    <row r="31" spans="1:27" ht="12" customHeight="1">
      <c r="A31" s="45" t="s">
        <v>114</v>
      </c>
      <c r="B31" s="37"/>
      <c r="C31" s="47">
        <f>C15+C22+C29</f>
        <v>-447</v>
      </c>
      <c r="E31" s="47">
        <f>E15+E22+E29</f>
        <v>474</v>
      </c>
      <c r="F31" s="46">
        <f>F15+F22+F29</f>
        <v>-13</v>
      </c>
      <c r="G31" s="46">
        <f>G15+G22+G29</f>
        <v>152</v>
      </c>
      <c r="H31" s="46">
        <f>H15+H22+H29</f>
        <v>-492</v>
      </c>
      <c r="I31" s="46">
        <f>I15+I22+I29</f>
        <v>121</v>
      </c>
      <c r="K31" s="47">
        <f>K15+K22+K29</f>
        <v>88</v>
      </c>
      <c r="L31" s="46">
        <f>L15+L22+L29</f>
        <v>130</v>
      </c>
      <c r="M31" s="46">
        <f>M15+M22+M29</f>
        <v>40</v>
      </c>
      <c r="N31" s="46">
        <f>N15+N22+N29</f>
        <v>139</v>
      </c>
      <c r="O31" s="46">
        <f>O15+O22+O29</f>
        <v>397</v>
      </c>
      <c r="Q31" s="47">
        <f>Q15+Q22+Q29</f>
        <v>-218</v>
      </c>
      <c r="R31" s="46">
        <f>R15+R22+R29</f>
        <v>-201</v>
      </c>
      <c r="S31" s="46">
        <f>S29+S22+S15</f>
        <v>-27</v>
      </c>
      <c r="T31" s="46">
        <f>T29+T22+T15</f>
        <v>178</v>
      </c>
      <c r="U31" s="46">
        <f>U15+U22+U29</f>
        <v>-268</v>
      </c>
      <c r="W31" s="47">
        <f>W15+W22+W29</f>
        <v>-81</v>
      </c>
      <c r="X31" s="46">
        <f>X15+X22+X29</f>
        <v>104</v>
      </c>
      <c r="Y31" s="46">
        <f>Y29+Y22+Y15</f>
        <v>159</v>
      </c>
      <c r="Z31" s="46">
        <f>Z29+Z22+Z15</f>
        <v>171</v>
      </c>
      <c r="AA31" s="484">
        <f>AA15+AA22+AA29</f>
        <v>353</v>
      </c>
    </row>
    <row r="32" spans="1:27" ht="12" customHeight="1">
      <c r="A32" s="33" t="s">
        <v>115</v>
      </c>
      <c r="B32" s="34"/>
      <c r="C32" s="27">
        <v>58</v>
      </c>
      <c r="E32" s="27">
        <v>-73</v>
      </c>
      <c r="F32" s="24">
        <v>-83</v>
      </c>
      <c r="G32" s="24">
        <v>9</v>
      </c>
      <c r="H32" s="24">
        <v>12</v>
      </c>
      <c r="I32" s="24">
        <v>-135</v>
      </c>
      <c r="K32" s="27">
        <v>40</v>
      </c>
      <c r="L32" s="24">
        <v>-21</v>
      </c>
      <c r="M32" s="24">
        <v>-7</v>
      </c>
      <c r="N32" s="24">
        <v>-10</v>
      </c>
      <c r="O32" s="24">
        <v>2</v>
      </c>
      <c r="Q32" s="27">
        <v>-18</v>
      </c>
      <c r="R32" s="24">
        <v>23</v>
      </c>
      <c r="S32" s="24">
        <v>-12</v>
      </c>
      <c r="T32" s="24">
        <v>1</v>
      </c>
      <c r="U32" s="24">
        <v>-6</v>
      </c>
      <c r="W32" s="27">
        <v>18</v>
      </c>
      <c r="X32" s="24">
        <v>-17</v>
      </c>
      <c r="Y32" s="24">
        <v>20</v>
      </c>
      <c r="Z32" s="24">
        <f>AA32-Y32-X32-W32</f>
        <v>-3</v>
      </c>
      <c r="AA32" s="487">
        <v>18</v>
      </c>
    </row>
    <row r="33" spans="1:27" ht="12" customHeight="1">
      <c r="A33" s="33" t="s">
        <v>116</v>
      </c>
      <c r="B33" s="34"/>
      <c r="C33" s="20">
        <v>864</v>
      </c>
      <c r="E33" s="20">
        <v>475</v>
      </c>
      <c r="F33" s="17">
        <v>876</v>
      </c>
      <c r="G33" s="17">
        <v>780</v>
      </c>
      <c r="H33" s="17">
        <v>941</v>
      </c>
      <c r="I33" s="17">
        <v>475</v>
      </c>
      <c r="K33" s="20">
        <v>461</v>
      </c>
      <c r="L33" s="17">
        <v>589</v>
      </c>
      <c r="M33" s="17">
        <v>698</v>
      </c>
      <c r="N33" s="17">
        <v>731</v>
      </c>
      <c r="O33" s="17">
        <v>461</v>
      </c>
      <c r="Q33" s="20">
        <v>860</v>
      </c>
      <c r="R33" s="17">
        <v>624</v>
      </c>
      <c r="S33" s="17">
        <v>446</v>
      </c>
      <c r="T33" s="17">
        <v>407</v>
      </c>
      <c r="U33" s="17">
        <v>860</v>
      </c>
      <c r="W33" s="20">
        <v>586</v>
      </c>
      <c r="X33" s="17">
        <v>523</v>
      </c>
      <c r="Y33" s="17">
        <v>610</v>
      </c>
      <c r="Z33" s="17">
        <v>789</v>
      </c>
      <c r="AA33" s="486">
        <v>586</v>
      </c>
    </row>
    <row r="34" spans="1:27" ht="12" customHeight="1">
      <c r="A34" s="36" t="s">
        <v>117</v>
      </c>
      <c r="B34" s="37"/>
      <c r="C34" s="20">
        <v>475</v>
      </c>
      <c r="E34" s="20">
        <v>876</v>
      </c>
      <c r="F34" s="17">
        <v>780</v>
      </c>
      <c r="G34" s="17">
        <v>941</v>
      </c>
      <c r="H34" s="17">
        <v>461</v>
      </c>
      <c r="I34" s="17">
        <v>461</v>
      </c>
      <c r="K34" s="20">
        <v>589</v>
      </c>
      <c r="L34" s="17">
        <v>698</v>
      </c>
      <c r="M34" s="17">
        <v>731</v>
      </c>
      <c r="N34" s="17">
        <v>860</v>
      </c>
      <c r="O34" s="17">
        <v>860</v>
      </c>
      <c r="Q34" s="20">
        <v>624</v>
      </c>
      <c r="R34" s="17">
        <v>446</v>
      </c>
      <c r="S34" s="17">
        <v>407</v>
      </c>
      <c r="T34" s="17">
        <v>586</v>
      </c>
      <c r="U34" s="17">
        <v>586</v>
      </c>
      <c r="W34" s="20">
        <v>523</v>
      </c>
      <c r="X34" s="17">
        <v>610</v>
      </c>
      <c r="Y34" s="17">
        <v>789</v>
      </c>
      <c r="Z34" s="17">
        <v>957</v>
      </c>
      <c r="AA34" s="485">
        <v>957</v>
      </c>
    </row>
    <row r="35" spans="3:27" ht="12.75">
      <c r="C35" s="50"/>
      <c r="E35" s="50"/>
      <c r="F35" s="50"/>
      <c r="G35" s="50"/>
      <c r="H35" s="50"/>
      <c r="I35" s="50"/>
      <c r="K35" s="50"/>
      <c r="L35" s="50"/>
      <c r="M35" s="50"/>
      <c r="N35" s="50"/>
      <c r="O35" s="50"/>
      <c r="Q35" s="134"/>
      <c r="R35" s="50"/>
      <c r="S35" s="134"/>
      <c r="T35" s="134"/>
      <c r="U35" s="50"/>
      <c r="W35" s="134"/>
      <c r="X35" s="134"/>
      <c r="Y35" s="134"/>
      <c r="Z35" s="134"/>
      <c r="AA35" s="134"/>
    </row>
    <row r="36" spans="1:27" ht="22.5">
      <c r="A36" s="642" t="s">
        <v>118</v>
      </c>
      <c r="C36" s="52"/>
      <c r="E36" s="52"/>
      <c r="F36" s="52"/>
      <c r="G36" s="52"/>
      <c r="H36" s="52"/>
      <c r="I36" s="51"/>
      <c r="K36" s="52"/>
      <c r="L36" s="52"/>
      <c r="M36" s="52"/>
      <c r="N36" s="52"/>
      <c r="O36" s="51"/>
      <c r="Q36" s="135"/>
      <c r="R36" s="52"/>
      <c r="S36" s="52"/>
      <c r="T36" s="52"/>
      <c r="U36" s="51"/>
      <c r="W36" s="135"/>
      <c r="X36" s="135"/>
      <c r="Y36" s="135"/>
      <c r="Z36" s="135"/>
      <c r="AA36" s="135"/>
    </row>
    <row r="37" spans="1:27" ht="12.75">
      <c r="A37" s="53" t="s">
        <v>22</v>
      </c>
      <c r="C37" s="27">
        <v>2203</v>
      </c>
      <c r="E37" s="27">
        <v>659</v>
      </c>
      <c r="F37" s="24">
        <v>487</v>
      </c>
      <c r="G37" s="24">
        <v>596</v>
      </c>
      <c r="H37" s="24">
        <v>739</v>
      </c>
      <c r="I37" s="17">
        <v>2481</v>
      </c>
      <c r="K37" s="27">
        <v>820</v>
      </c>
      <c r="L37" s="24">
        <v>611</v>
      </c>
      <c r="M37" s="24">
        <v>576</v>
      </c>
      <c r="N37" s="24">
        <v>597</v>
      </c>
      <c r="O37" s="17">
        <v>2604</v>
      </c>
      <c r="Q37" s="27">
        <v>611</v>
      </c>
      <c r="R37" s="24">
        <v>372</v>
      </c>
      <c r="S37" s="24">
        <v>377</v>
      </c>
      <c r="T37" s="24">
        <v>631</v>
      </c>
      <c r="U37" s="17">
        <v>1991</v>
      </c>
      <c r="W37" s="27">
        <v>571</v>
      </c>
      <c r="X37" s="24">
        <v>390</v>
      </c>
      <c r="Y37" s="24">
        <v>426</v>
      </c>
      <c r="Z37" s="24">
        <v>520</v>
      </c>
      <c r="AA37" s="484">
        <v>1907</v>
      </c>
    </row>
    <row r="38" spans="1:27" ht="12.75">
      <c r="A38" s="53" t="s">
        <v>23</v>
      </c>
      <c r="C38" s="27">
        <v>924</v>
      </c>
      <c r="E38" s="27">
        <v>217</v>
      </c>
      <c r="F38" s="24">
        <v>219</v>
      </c>
      <c r="G38" s="24">
        <v>253</v>
      </c>
      <c r="H38" s="24">
        <v>412</v>
      </c>
      <c r="I38" s="17">
        <v>1101</v>
      </c>
      <c r="K38" s="27">
        <v>176</v>
      </c>
      <c r="L38" s="24">
        <v>127</v>
      </c>
      <c r="M38" s="24">
        <v>67</v>
      </c>
      <c r="N38" s="24">
        <v>60</v>
      </c>
      <c r="O38" s="17">
        <v>430</v>
      </c>
      <c r="Q38" s="27">
        <v>83</v>
      </c>
      <c r="R38" s="24">
        <v>150</v>
      </c>
      <c r="S38" s="24">
        <v>135</v>
      </c>
      <c r="T38" s="24">
        <v>181</v>
      </c>
      <c r="U38" s="17">
        <v>549</v>
      </c>
      <c r="W38" s="27">
        <v>133</v>
      </c>
      <c r="X38" s="24">
        <v>164</v>
      </c>
      <c r="Y38" s="24">
        <v>147</v>
      </c>
      <c r="Z38" s="24">
        <v>176</v>
      </c>
      <c r="AA38" s="484">
        <v>620</v>
      </c>
    </row>
    <row r="39" spans="1:27" ht="12.75">
      <c r="A39" s="53" t="s">
        <v>24</v>
      </c>
      <c r="C39" s="27">
        <v>2745</v>
      </c>
      <c r="D39" s="568"/>
      <c r="E39" s="27">
        <v>443</v>
      </c>
      <c r="F39" s="24">
        <v>190</v>
      </c>
      <c r="G39" s="24">
        <v>256</v>
      </c>
      <c r="H39" s="24">
        <v>230</v>
      </c>
      <c r="I39" s="17">
        <v>1119</v>
      </c>
      <c r="J39" s="568"/>
      <c r="K39" s="27">
        <v>246</v>
      </c>
      <c r="L39" s="24">
        <v>105</v>
      </c>
      <c r="M39" s="24">
        <v>106</v>
      </c>
      <c r="N39" s="24">
        <v>129</v>
      </c>
      <c r="O39" s="17">
        <v>586</v>
      </c>
      <c r="P39" s="568"/>
      <c r="Q39" s="27">
        <v>147</v>
      </c>
      <c r="R39" s="24">
        <v>135</v>
      </c>
      <c r="S39" s="24">
        <v>100</v>
      </c>
      <c r="T39" s="24">
        <v>182</v>
      </c>
      <c r="U39" s="17">
        <v>564</v>
      </c>
      <c r="V39" s="568"/>
      <c r="W39" s="27">
        <v>139</v>
      </c>
      <c r="X39" s="24">
        <v>168</v>
      </c>
      <c r="Y39" s="24">
        <v>145</v>
      </c>
      <c r="Z39" s="24">
        <v>120</v>
      </c>
      <c r="AA39" s="484">
        <v>572</v>
      </c>
    </row>
    <row r="40" spans="3:27" ht="12.75">
      <c r="C40" s="39"/>
      <c r="E40" s="39"/>
      <c r="F40" s="39"/>
      <c r="G40" s="39"/>
      <c r="H40" s="39"/>
      <c r="I40" s="39"/>
      <c r="K40" s="39"/>
      <c r="L40" s="39"/>
      <c r="M40" s="39"/>
      <c r="N40" s="39"/>
      <c r="O40" s="39"/>
      <c r="Q40" s="39"/>
      <c r="R40" s="39"/>
      <c r="S40" s="39"/>
      <c r="T40" s="39"/>
      <c r="U40" s="39"/>
      <c r="W40" s="39"/>
      <c r="X40" s="39"/>
      <c r="Y40" s="39"/>
      <c r="Z40" s="39"/>
      <c r="AA40" s="482"/>
    </row>
    <row r="41" ht="15">
      <c r="AA41" s="483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C12 E12:F12 G12:I12 K12:O12 Q12:T12 W12:X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M53"/>
  <sheetViews>
    <sheetView zoomScale="120" zoomScaleNormal="12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8" sqref="A8"/>
    </sheetView>
  </sheetViews>
  <sheetFormatPr defaultColWidth="8.8515625" defaultRowHeight="12.75"/>
  <cols>
    <col min="1" max="1" width="3.7109375" style="442" customWidth="1"/>
    <col min="2" max="2" width="44.140625" style="441" customWidth="1"/>
    <col min="3" max="3" width="0.85546875" style="91" customWidth="1"/>
    <col min="4" max="4" width="11.7109375" style="440" customWidth="1"/>
    <col min="5" max="5" width="0.9921875" style="439" customWidth="1"/>
    <col min="6" max="6" width="11.7109375" style="440" customWidth="1"/>
    <col min="7" max="7" width="0.9921875" style="439" customWidth="1"/>
    <col min="8" max="11" width="11.7109375" style="440" customWidth="1"/>
    <col min="12" max="12" width="0.9921875" style="439" customWidth="1"/>
    <col min="13" max="16" width="11.7109375" style="133" customWidth="1"/>
    <col min="17" max="17" width="0.9921875" style="439" customWidth="1"/>
    <col min="18" max="21" width="11.7109375" style="133" customWidth="1"/>
    <col min="22" max="115" width="8.8515625" style="133" customWidth="1"/>
    <col min="116" max="16384" width="8.8515625" style="79" customWidth="1"/>
  </cols>
  <sheetData>
    <row r="1" ht="15.75" thickBot="1">
      <c r="A1" s="62" t="s">
        <v>119</v>
      </c>
    </row>
    <row r="2" spans="1:247" ht="12" thickBot="1">
      <c r="A2" s="660"/>
      <c r="B2" s="660"/>
      <c r="C2" s="82"/>
      <c r="D2" s="55">
        <v>2014</v>
      </c>
      <c r="E2" s="14"/>
      <c r="F2" s="14">
        <v>2015</v>
      </c>
      <c r="G2" s="14"/>
      <c r="H2" s="14" t="s">
        <v>8</v>
      </c>
      <c r="I2" s="14" t="s">
        <v>9</v>
      </c>
      <c r="J2" s="14" t="s">
        <v>10</v>
      </c>
      <c r="K2" s="14">
        <v>2016</v>
      </c>
      <c r="L2" s="14"/>
      <c r="M2" s="14" t="s">
        <v>16</v>
      </c>
      <c r="N2" s="14" t="s">
        <v>17</v>
      </c>
      <c r="O2" s="14" t="s">
        <v>20</v>
      </c>
      <c r="P2" s="14">
        <v>2017</v>
      </c>
      <c r="Q2" s="14"/>
      <c r="R2" s="14" t="s">
        <v>28</v>
      </c>
      <c r="S2" s="14" t="s">
        <v>30</v>
      </c>
      <c r="T2" s="14" t="s">
        <v>35</v>
      </c>
      <c r="U2" s="14">
        <v>2018</v>
      </c>
      <c r="DL2" s="455"/>
      <c r="DM2" s="455"/>
      <c r="DN2" s="455"/>
      <c r="DO2" s="455"/>
      <c r="DP2" s="455"/>
      <c r="DQ2" s="455"/>
      <c r="DR2" s="455"/>
      <c r="DS2" s="455"/>
      <c r="DT2" s="455"/>
      <c r="DU2" s="455"/>
      <c r="DV2" s="455"/>
      <c r="DW2" s="455"/>
      <c r="DX2" s="455"/>
      <c r="DY2" s="455"/>
      <c r="DZ2" s="455"/>
      <c r="EA2" s="455"/>
      <c r="EB2" s="455"/>
      <c r="EC2" s="455"/>
      <c r="ED2" s="455"/>
      <c r="EE2" s="455"/>
      <c r="EF2" s="455"/>
      <c r="EG2" s="455"/>
      <c r="EH2" s="455"/>
      <c r="EI2" s="455"/>
      <c r="EJ2" s="455"/>
      <c r="EK2" s="455"/>
      <c r="EL2" s="455"/>
      <c r="EM2" s="455"/>
      <c r="EN2" s="455"/>
      <c r="EO2" s="455"/>
      <c r="EP2" s="455"/>
      <c r="EQ2" s="455"/>
      <c r="ER2" s="455"/>
      <c r="ES2" s="455"/>
      <c r="ET2" s="455"/>
      <c r="EU2" s="455"/>
      <c r="EV2" s="455"/>
      <c r="EW2" s="455"/>
      <c r="EX2" s="455"/>
      <c r="EY2" s="455"/>
      <c r="EZ2" s="455"/>
      <c r="FA2" s="455"/>
      <c r="FB2" s="455"/>
      <c r="FC2" s="455"/>
      <c r="FD2" s="455"/>
      <c r="FE2" s="455"/>
      <c r="FF2" s="455"/>
      <c r="FG2" s="455"/>
      <c r="FH2" s="455"/>
      <c r="FI2" s="455"/>
      <c r="FJ2" s="455"/>
      <c r="FK2" s="455"/>
      <c r="FL2" s="455"/>
      <c r="FM2" s="455"/>
      <c r="FN2" s="455"/>
      <c r="FO2" s="455"/>
      <c r="FP2" s="455"/>
      <c r="FQ2" s="455"/>
      <c r="FR2" s="455"/>
      <c r="FS2" s="455"/>
      <c r="FT2" s="455"/>
      <c r="FU2" s="455"/>
      <c r="FV2" s="455"/>
      <c r="FW2" s="455"/>
      <c r="FX2" s="455"/>
      <c r="FY2" s="455"/>
      <c r="FZ2" s="455"/>
      <c r="GA2" s="455"/>
      <c r="GB2" s="455"/>
      <c r="GC2" s="455"/>
      <c r="GD2" s="455"/>
      <c r="GE2" s="455"/>
      <c r="GF2" s="455"/>
      <c r="GG2" s="455"/>
      <c r="GH2" s="455"/>
      <c r="GI2" s="455"/>
      <c r="GJ2" s="455"/>
      <c r="GK2" s="455"/>
      <c r="GL2" s="455"/>
      <c r="GM2" s="455"/>
      <c r="GN2" s="455"/>
      <c r="GO2" s="455"/>
      <c r="GP2" s="455"/>
      <c r="GQ2" s="455"/>
      <c r="GR2" s="455"/>
      <c r="GS2" s="455"/>
      <c r="GT2" s="455"/>
      <c r="GU2" s="455"/>
      <c r="GV2" s="455"/>
      <c r="GW2" s="455"/>
      <c r="GX2" s="455"/>
      <c r="GY2" s="455"/>
      <c r="GZ2" s="455"/>
      <c r="HA2" s="455"/>
      <c r="HB2" s="455"/>
      <c r="HC2" s="455"/>
      <c r="HD2" s="455"/>
      <c r="HE2" s="455"/>
      <c r="HF2" s="455"/>
      <c r="HG2" s="455"/>
      <c r="HH2" s="455"/>
      <c r="HI2" s="455"/>
      <c r="HJ2" s="455"/>
      <c r="HK2" s="455"/>
      <c r="HL2" s="455"/>
      <c r="HM2" s="455"/>
      <c r="HN2" s="455"/>
      <c r="HO2" s="455"/>
      <c r="HP2" s="455"/>
      <c r="HQ2" s="455"/>
      <c r="HR2" s="455"/>
      <c r="HS2" s="455"/>
      <c r="HT2" s="455"/>
      <c r="HU2" s="455"/>
      <c r="HV2" s="455"/>
      <c r="HW2" s="455"/>
      <c r="HX2" s="455"/>
      <c r="HY2" s="455"/>
      <c r="HZ2" s="455"/>
      <c r="IA2" s="455"/>
      <c r="IB2" s="455"/>
      <c r="IC2" s="455"/>
      <c r="ID2" s="455"/>
      <c r="IE2" s="455"/>
      <c r="IF2" s="455"/>
      <c r="IG2" s="455"/>
      <c r="IH2" s="455"/>
      <c r="II2" s="455"/>
      <c r="IJ2" s="455"/>
      <c r="IK2" s="455"/>
      <c r="IL2" s="455"/>
      <c r="IM2" s="455"/>
    </row>
    <row r="3" spans="1:247" ht="12" thickBot="1">
      <c r="A3" s="460" t="s">
        <v>120</v>
      </c>
      <c r="B3" s="459"/>
      <c r="C3" s="82"/>
      <c r="D3" s="456"/>
      <c r="E3" s="458"/>
      <c r="F3" s="456"/>
      <c r="G3" s="458"/>
      <c r="H3" s="456"/>
      <c r="I3" s="457"/>
      <c r="J3" s="457"/>
      <c r="K3" s="24"/>
      <c r="L3" s="25"/>
      <c r="M3" s="456"/>
      <c r="N3" s="24"/>
      <c r="O3" s="24"/>
      <c r="P3" s="24"/>
      <c r="Q3" s="26"/>
      <c r="R3" s="24"/>
      <c r="S3" s="24"/>
      <c r="T3" s="24"/>
      <c r="U3" s="450"/>
      <c r="DL3" s="455"/>
      <c r="DM3" s="455"/>
      <c r="DN3" s="455"/>
      <c r="DO3" s="455"/>
      <c r="DP3" s="455"/>
      <c r="DQ3" s="455"/>
      <c r="DR3" s="455"/>
      <c r="DS3" s="455"/>
      <c r="DT3" s="455"/>
      <c r="DU3" s="455"/>
      <c r="DV3" s="455"/>
      <c r="DW3" s="455"/>
      <c r="DX3" s="455"/>
      <c r="DY3" s="455"/>
      <c r="DZ3" s="455"/>
      <c r="EA3" s="455"/>
      <c r="EB3" s="455"/>
      <c r="EC3" s="455"/>
      <c r="ED3" s="455"/>
      <c r="EE3" s="455"/>
      <c r="EF3" s="455"/>
      <c r="EG3" s="455"/>
      <c r="EH3" s="455"/>
      <c r="EI3" s="455"/>
      <c r="EJ3" s="455"/>
      <c r="EK3" s="455"/>
      <c r="EL3" s="455"/>
      <c r="EM3" s="455"/>
      <c r="EN3" s="455"/>
      <c r="EO3" s="455"/>
      <c r="EP3" s="455"/>
      <c r="EQ3" s="455"/>
      <c r="ER3" s="455"/>
      <c r="ES3" s="455"/>
      <c r="ET3" s="455"/>
      <c r="EU3" s="455"/>
      <c r="EV3" s="455"/>
      <c r="EW3" s="455"/>
      <c r="EX3" s="455"/>
      <c r="EY3" s="455"/>
      <c r="EZ3" s="455"/>
      <c r="FA3" s="455"/>
      <c r="FB3" s="455"/>
      <c r="FC3" s="455"/>
      <c r="FD3" s="455"/>
      <c r="FE3" s="455"/>
      <c r="FF3" s="455"/>
      <c r="FG3" s="455"/>
      <c r="FH3" s="455"/>
      <c r="FI3" s="455"/>
      <c r="FJ3" s="455"/>
      <c r="FK3" s="455"/>
      <c r="FL3" s="455"/>
      <c r="FM3" s="455"/>
      <c r="FN3" s="455"/>
      <c r="FO3" s="455"/>
      <c r="FP3" s="455"/>
      <c r="FQ3" s="455"/>
      <c r="FR3" s="455"/>
      <c r="FS3" s="455"/>
      <c r="FT3" s="455"/>
      <c r="FU3" s="455"/>
      <c r="FV3" s="455"/>
      <c r="FW3" s="455"/>
      <c r="FX3" s="455"/>
      <c r="FY3" s="455"/>
      <c r="FZ3" s="455"/>
      <c r="GA3" s="455"/>
      <c r="GB3" s="455"/>
      <c r="GC3" s="455"/>
      <c r="GD3" s="455"/>
      <c r="GE3" s="455"/>
      <c r="GF3" s="455"/>
      <c r="GG3" s="455"/>
      <c r="GH3" s="455"/>
      <c r="GI3" s="455"/>
      <c r="GJ3" s="455"/>
      <c r="GK3" s="455"/>
      <c r="GL3" s="455"/>
      <c r="GM3" s="455"/>
      <c r="GN3" s="455"/>
      <c r="GO3" s="455"/>
      <c r="GP3" s="455"/>
      <c r="GQ3" s="455"/>
      <c r="GR3" s="455"/>
      <c r="GS3" s="455"/>
      <c r="GT3" s="455"/>
      <c r="GU3" s="455"/>
      <c r="GV3" s="455"/>
      <c r="GW3" s="455"/>
      <c r="GX3" s="455"/>
      <c r="GY3" s="455"/>
      <c r="GZ3" s="455"/>
      <c r="HA3" s="455"/>
      <c r="HB3" s="455"/>
      <c r="HC3" s="455"/>
      <c r="HD3" s="455"/>
      <c r="HE3" s="455"/>
      <c r="HF3" s="455"/>
      <c r="HG3" s="455"/>
      <c r="HH3" s="455"/>
      <c r="HI3" s="455"/>
      <c r="HJ3" s="455"/>
      <c r="HK3" s="455"/>
      <c r="HL3" s="455"/>
      <c r="HM3" s="455"/>
      <c r="HN3" s="455"/>
      <c r="HO3" s="455"/>
      <c r="HP3" s="455"/>
      <c r="HQ3" s="455"/>
      <c r="HR3" s="455"/>
      <c r="HS3" s="455"/>
      <c r="HT3" s="455"/>
      <c r="HU3" s="455"/>
      <c r="HV3" s="455"/>
      <c r="HW3" s="455"/>
      <c r="HX3" s="455"/>
      <c r="HY3" s="455"/>
      <c r="HZ3" s="455"/>
      <c r="IA3" s="455"/>
      <c r="IB3" s="455"/>
      <c r="IC3" s="455"/>
      <c r="ID3" s="455"/>
      <c r="IE3" s="455"/>
      <c r="IF3" s="455"/>
      <c r="IG3" s="455"/>
      <c r="IH3" s="455"/>
      <c r="II3" s="455"/>
      <c r="IJ3" s="455"/>
      <c r="IK3" s="455"/>
      <c r="IL3" s="455"/>
      <c r="IM3" s="455"/>
    </row>
    <row r="4" spans="1:21" ht="11.25">
      <c r="A4" s="643" t="s">
        <v>121</v>
      </c>
      <c r="B4" s="644"/>
      <c r="D4" s="27">
        <v>14876</v>
      </c>
      <c r="E4" s="25"/>
      <c r="F4" s="27">
        <v>14273</v>
      </c>
      <c r="G4" s="25"/>
      <c r="H4" s="27">
        <v>14421</v>
      </c>
      <c r="I4" s="24">
        <v>14821</v>
      </c>
      <c r="J4" s="24">
        <v>15098</v>
      </c>
      <c r="K4" s="24">
        <v>15217</v>
      </c>
      <c r="L4" s="25"/>
      <c r="M4" s="27">
        <v>15301</v>
      </c>
      <c r="N4" s="24">
        <v>15359</v>
      </c>
      <c r="O4" s="24">
        <v>15571</v>
      </c>
      <c r="P4" s="24">
        <v>16296</v>
      </c>
      <c r="Q4" s="26"/>
      <c r="R4" s="24">
        <v>16305</v>
      </c>
      <c r="S4" s="24">
        <v>16469</v>
      </c>
      <c r="T4" s="24">
        <v>16660</v>
      </c>
      <c r="U4" s="449">
        <v>17507</v>
      </c>
    </row>
    <row r="5" spans="1:21" ht="11.25">
      <c r="A5" s="643" t="s">
        <v>122</v>
      </c>
      <c r="B5" s="644"/>
      <c r="D5" s="27">
        <v>2700</v>
      </c>
      <c r="E5" s="25"/>
      <c r="F5" s="27">
        <v>3130</v>
      </c>
      <c r="G5" s="25"/>
      <c r="H5" s="27">
        <v>3199</v>
      </c>
      <c r="I5" s="24">
        <v>3301</v>
      </c>
      <c r="J5" s="24">
        <v>3298</v>
      </c>
      <c r="K5" s="24">
        <v>2474</v>
      </c>
      <c r="L5" s="25"/>
      <c r="M5" s="27">
        <v>2395</v>
      </c>
      <c r="N5" s="24">
        <v>2309</v>
      </c>
      <c r="O5" s="24">
        <v>2325</v>
      </c>
      <c r="P5" s="24">
        <v>1447</v>
      </c>
      <c r="Q5" s="26"/>
      <c r="R5" s="24">
        <v>1456</v>
      </c>
      <c r="S5" s="24">
        <v>1557</v>
      </c>
      <c r="T5" s="24">
        <v>1628</v>
      </c>
      <c r="U5" s="446">
        <v>1657</v>
      </c>
    </row>
    <row r="6" spans="1:21" ht="11.25" customHeight="1">
      <c r="A6" s="657" t="s">
        <v>123</v>
      </c>
      <c r="B6" s="657"/>
      <c r="D6" s="27">
        <v>17576</v>
      </c>
      <c r="E6" s="25"/>
      <c r="F6" s="27">
        <f>F4+F5</f>
        <v>17403</v>
      </c>
      <c r="G6" s="25"/>
      <c r="H6" s="27">
        <f>H4+H5</f>
        <v>17620</v>
      </c>
      <c r="I6" s="24">
        <f>I4+I5</f>
        <v>18122</v>
      </c>
      <c r="J6" s="24">
        <f>J4+J5</f>
        <v>18396</v>
      </c>
      <c r="K6" s="24">
        <f>K4+K5</f>
        <v>17691</v>
      </c>
      <c r="L6" s="25"/>
      <c r="M6" s="27">
        <f>M4+M5</f>
        <v>17696</v>
      </c>
      <c r="N6" s="24">
        <f>N4+N5</f>
        <v>17668</v>
      </c>
      <c r="O6" s="24">
        <v>17896</v>
      </c>
      <c r="P6" s="24">
        <f>SUM(P4:P5)</f>
        <v>17743</v>
      </c>
      <c r="Q6" s="26"/>
      <c r="R6" s="24">
        <f>R4+R5</f>
        <v>17761</v>
      </c>
      <c r="S6" s="24">
        <f>S4+S5</f>
        <v>18026</v>
      </c>
      <c r="T6" s="24">
        <f>T4+T5</f>
        <v>18288</v>
      </c>
      <c r="U6" s="450">
        <f>U4+U5</f>
        <v>19164</v>
      </c>
    </row>
    <row r="7" spans="1:21" ht="11.25">
      <c r="A7" s="643" t="s">
        <v>124</v>
      </c>
      <c r="B7" s="644"/>
      <c r="D7" s="27">
        <v>2745</v>
      </c>
      <c r="E7" s="25"/>
      <c r="F7" s="27">
        <v>2653</v>
      </c>
      <c r="G7" s="25"/>
      <c r="H7" s="27">
        <v>2776</v>
      </c>
      <c r="I7" s="24">
        <v>2828</v>
      </c>
      <c r="J7" s="24">
        <v>2707</v>
      </c>
      <c r="K7" s="24">
        <v>2591</v>
      </c>
      <c r="L7" s="25"/>
      <c r="M7" s="27">
        <v>2543</v>
      </c>
      <c r="N7" s="24">
        <v>2599</v>
      </c>
      <c r="O7" s="24">
        <v>2632</v>
      </c>
      <c r="P7" s="24">
        <v>2679</v>
      </c>
      <c r="Q7" s="26"/>
      <c r="R7" s="24">
        <v>2682</v>
      </c>
      <c r="S7" s="24">
        <v>2746</v>
      </c>
      <c r="T7" s="24">
        <v>2725</v>
      </c>
      <c r="U7" s="449">
        <v>2789</v>
      </c>
    </row>
    <row r="8" spans="1:247" ht="11.25">
      <c r="A8" s="645" t="s">
        <v>125</v>
      </c>
      <c r="B8" s="646"/>
      <c r="C8" s="447"/>
      <c r="D8" s="27">
        <v>218</v>
      </c>
      <c r="E8" s="25"/>
      <c r="F8" s="27">
        <v>241</v>
      </c>
      <c r="G8" s="25"/>
      <c r="H8" s="27">
        <v>202</v>
      </c>
      <c r="I8" s="24">
        <v>236</v>
      </c>
      <c r="J8" s="24">
        <v>197</v>
      </c>
      <c r="K8" s="24">
        <v>208</v>
      </c>
      <c r="L8" s="25"/>
      <c r="M8" s="27">
        <v>222</v>
      </c>
      <c r="N8" s="24">
        <v>202</v>
      </c>
      <c r="O8" s="24">
        <v>201</v>
      </c>
      <c r="P8" s="24">
        <v>209</v>
      </c>
      <c r="Q8" s="26"/>
      <c r="R8" s="24">
        <v>221</v>
      </c>
      <c r="S8" s="24">
        <v>207</v>
      </c>
      <c r="T8" s="24">
        <v>207</v>
      </c>
      <c r="U8" s="446">
        <v>224</v>
      </c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  <c r="AK8" s="439"/>
      <c r="AL8" s="439"/>
      <c r="AM8" s="439"/>
      <c r="AN8" s="439"/>
      <c r="AO8" s="439"/>
      <c r="AP8" s="439"/>
      <c r="AQ8" s="439"/>
      <c r="AR8" s="439"/>
      <c r="AS8" s="439"/>
      <c r="AT8" s="439"/>
      <c r="AU8" s="439"/>
      <c r="AV8" s="439"/>
      <c r="AW8" s="439"/>
      <c r="AX8" s="439"/>
      <c r="AY8" s="439"/>
      <c r="AZ8" s="439"/>
      <c r="BA8" s="439"/>
      <c r="BB8" s="439"/>
      <c r="BC8" s="439"/>
      <c r="BD8" s="439"/>
      <c r="BE8" s="439"/>
      <c r="BF8" s="439"/>
      <c r="BG8" s="439"/>
      <c r="BH8" s="439"/>
      <c r="BI8" s="439"/>
      <c r="BJ8" s="439"/>
      <c r="BK8" s="439"/>
      <c r="BL8" s="439"/>
      <c r="BM8" s="439"/>
      <c r="BN8" s="439"/>
      <c r="BO8" s="439"/>
      <c r="BP8" s="439"/>
      <c r="BQ8" s="439"/>
      <c r="BR8" s="439"/>
      <c r="BS8" s="439"/>
      <c r="BT8" s="439"/>
      <c r="BU8" s="439"/>
      <c r="BV8" s="439"/>
      <c r="BW8" s="439"/>
      <c r="BX8" s="439"/>
      <c r="BY8" s="439"/>
      <c r="BZ8" s="439"/>
      <c r="CA8" s="439"/>
      <c r="CB8" s="439"/>
      <c r="CC8" s="439"/>
      <c r="CD8" s="439"/>
      <c r="CE8" s="439"/>
      <c r="CF8" s="439"/>
      <c r="CG8" s="439"/>
      <c r="CH8" s="439"/>
      <c r="CI8" s="439"/>
      <c r="CJ8" s="439"/>
      <c r="CK8" s="439"/>
      <c r="CL8" s="439"/>
      <c r="CM8" s="439"/>
      <c r="CN8" s="439"/>
      <c r="CO8" s="439"/>
      <c r="CP8" s="439"/>
      <c r="CQ8" s="439"/>
      <c r="CR8" s="439"/>
      <c r="CS8" s="439"/>
      <c r="CT8" s="439"/>
      <c r="CU8" s="439"/>
      <c r="CV8" s="439"/>
      <c r="CW8" s="439"/>
      <c r="CX8" s="439"/>
      <c r="CY8" s="439"/>
      <c r="CZ8" s="439"/>
      <c r="DA8" s="439"/>
      <c r="DB8" s="439"/>
      <c r="DC8" s="439"/>
      <c r="DD8" s="439"/>
      <c r="DE8" s="439"/>
      <c r="DF8" s="439"/>
      <c r="DG8" s="439"/>
      <c r="DH8" s="439"/>
      <c r="DI8" s="439"/>
      <c r="DJ8" s="439"/>
      <c r="DK8" s="439"/>
      <c r="DL8" s="440"/>
      <c r="DM8" s="440"/>
      <c r="DN8" s="440"/>
      <c r="DO8" s="440"/>
      <c r="DP8" s="440"/>
      <c r="DQ8" s="440"/>
      <c r="DR8" s="440"/>
      <c r="DS8" s="440"/>
      <c r="DT8" s="440"/>
      <c r="DU8" s="440"/>
      <c r="DV8" s="440"/>
      <c r="DW8" s="440"/>
      <c r="DX8" s="440"/>
      <c r="DY8" s="440"/>
      <c r="DZ8" s="440"/>
      <c r="EA8" s="440"/>
      <c r="EB8" s="440"/>
      <c r="EC8" s="440"/>
      <c r="ED8" s="440"/>
      <c r="EE8" s="440"/>
      <c r="EF8" s="440"/>
      <c r="EG8" s="440"/>
      <c r="EH8" s="440"/>
      <c r="EI8" s="440"/>
      <c r="EJ8" s="440"/>
      <c r="EK8" s="440"/>
      <c r="EL8" s="440"/>
      <c r="EM8" s="440"/>
      <c r="EN8" s="440"/>
      <c r="EO8" s="440"/>
      <c r="EP8" s="440"/>
      <c r="EQ8" s="440"/>
      <c r="ER8" s="440"/>
      <c r="ES8" s="440"/>
      <c r="ET8" s="440"/>
      <c r="EU8" s="440"/>
      <c r="EV8" s="440"/>
      <c r="EW8" s="440"/>
      <c r="EX8" s="440"/>
      <c r="EY8" s="440"/>
      <c r="EZ8" s="440"/>
      <c r="FA8" s="440"/>
      <c r="FB8" s="440"/>
      <c r="FC8" s="440"/>
      <c r="FD8" s="440"/>
      <c r="FE8" s="440"/>
      <c r="FF8" s="440"/>
      <c r="FG8" s="440"/>
      <c r="FH8" s="440"/>
      <c r="FI8" s="440"/>
      <c r="FJ8" s="440"/>
      <c r="FK8" s="440"/>
      <c r="FL8" s="440"/>
      <c r="FM8" s="440"/>
      <c r="FN8" s="440"/>
      <c r="FO8" s="440"/>
      <c r="FP8" s="440"/>
      <c r="FQ8" s="440"/>
      <c r="FR8" s="440"/>
      <c r="FS8" s="440"/>
      <c r="FT8" s="440"/>
      <c r="FU8" s="440"/>
      <c r="FV8" s="440"/>
      <c r="FW8" s="440"/>
      <c r="FX8" s="440"/>
      <c r="FY8" s="440"/>
      <c r="FZ8" s="440"/>
      <c r="GA8" s="440"/>
      <c r="GB8" s="440"/>
      <c r="GC8" s="440"/>
      <c r="GD8" s="440"/>
      <c r="GE8" s="440"/>
      <c r="GF8" s="440"/>
      <c r="GG8" s="440"/>
      <c r="GH8" s="440"/>
      <c r="GI8" s="440"/>
      <c r="GJ8" s="440"/>
      <c r="GK8" s="440"/>
      <c r="GL8" s="440"/>
      <c r="GM8" s="440"/>
      <c r="GN8" s="440"/>
      <c r="GO8" s="440"/>
      <c r="GP8" s="440"/>
      <c r="GQ8" s="440"/>
      <c r="GR8" s="440"/>
      <c r="GS8" s="440"/>
      <c r="GT8" s="440"/>
      <c r="GU8" s="440"/>
      <c r="GV8" s="440"/>
      <c r="GW8" s="440"/>
      <c r="GX8" s="440"/>
      <c r="GY8" s="440"/>
      <c r="GZ8" s="440"/>
      <c r="HA8" s="440"/>
      <c r="HB8" s="440"/>
      <c r="HC8" s="440"/>
      <c r="HD8" s="440"/>
      <c r="HE8" s="440"/>
      <c r="HF8" s="440"/>
      <c r="HG8" s="440"/>
      <c r="HH8" s="440"/>
      <c r="HI8" s="440"/>
      <c r="HJ8" s="440"/>
      <c r="HK8" s="440"/>
      <c r="HL8" s="440"/>
      <c r="HM8" s="440"/>
      <c r="HN8" s="440"/>
      <c r="HO8" s="440"/>
      <c r="HP8" s="440"/>
      <c r="HQ8" s="440"/>
      <c r="HR8" s="440"/>
      <c r="HS8" s="440"/>
      <c r="HT8" s="440"/>
      <c r="HU8" s="440"/>
      <c r="HV8" s="440"/>
      <c r="HW8" s="440"/>
      <c r="HX8" s="440"/>
      <c r="HY8" s="440"/>
      <c r="HZ8" s="440"/>
      <c r="IA8" s="440"/>
      <c r="IB8" s="440"/>
      <c r="IC8" s="440"/>
      <c r="ID8" s="440"/>
      <c r="IE8" s="440"/>
      <c r="IF8" s="440"/>
      <c r="IG8" s="440"/>
      <c r="IH8" s="440"/>
      <c r="II8" s="440"/>
      <c r="IJ8" s="440"/>
      <c r="IK8" s="440"/>
      <c r="IL8" s="440"/>
      <c r="IM8" s="440"/>
    </row>
    <row r="9" spans="1:21" ht="11.25" customHeight="1">
      <c r="A9" s="661" t="s">
        <v>126</v>
      </c>
      <c r="B9" s="661"/>
      <c r="C9" s="454"/>
      <c r="D9" s="27">
        <v>2963</v>
      </c>
      <c r="E9" s="25"/>
      <c r="F9" s="27">
        <f>F7+F8</f>
        <v>2894</v>
      </c>
      <c r="G9" s="25"/>
      <c r="H9" s="27">
        <f>H7+H8</f>
        <v>2978</v>
      </c>
      <c r="I9" s="24">
        <f>I7+I8</f>
        <v>3064</v>
      </c>
      <c r="J9" s="24">
        <f>J7+J8</f>
        <v>2904</v>
      </c>
      <c r="K9" s="24">
        <f>K7+K8</f>
        <v>2799</v>
      </c>
      <c r="L9" s="25"/>
      <c r="M9" s="27">
        <f>M7+M8</f>
        <v>2765</v>
      </c>
      <c r="N9" s="24">
        <f>N7+N8</f>
        <v>2801</v>
      </c>
      <c r="O9" s="24">
        <v>2833</v>
      </c>
      <c r="P9" s="24">
        <f>SUM(P7:P8)</f>
        <v>2888</v>
      </c>
      <c r="Q9" s="26"/>
      <c r="R9" s="24">
        <f>R7+R8</f>
        <v>2903</v>
      </c>
      <c r="S9" s="24">
        <f>S7+S8</f>
        <v>2953</v>
      </c>
      <c r="T9" s="24">
        <f>T7+T8</f>
        <v>2932</v>
      </c>
      <c r="U9" s="450">
        <f>U7+U8</f>
        <v>3013</v>
      </c>
    </row>
    <row r="10" spans="1:21" ht="11.25">
      <c r="A10" s="643" t="s">
        <v>127</v>
      </c>
      <c r="B10" s="644"/>
      <c r="D10" s="27">
        <v>4363</v>
      </c>
      <c r="E10" s="25"/>
      <c r="F10" s="27">
        <v>562</v>
      </c>
      <c r="G10" s="25"/>
      <c r="H10" s="27">
        <v>498</v>
      </c>
      <c r="I10" s="24">
        <v>333</v>
      </c>
      <c r="J10" s="24">
        <v>73</v>
      </c>
      <c r="K10" s="24">
        <v>27</v>
      </c>
      <c r="L10" s="25"/>
      <c r="M10" s="27">
        <v>27</v>
      </c>
      <c r="N10" s="24">
        <v>26</v>
      </c>
      <c r="O10" s="24">
        <v>26</v>
      </c>
      <c r="P10" s="24">
        <v>8</v>
      </c>
      <c r="Q10" s="26"/>
      <c r="R10" s="24">
        <v>8</v>
      </c>
      <c r="S10" s="24">
        <v>6</v>
      </c>
      <c r="T10" s="24">
        <v>5</v>
      </c>
      <c r="U10" s="449">
        <v>4</v>
      </c>
    </row>
    <row r="11" spans="1:21" ht="11.25">
      <c r="A11" s="643" t="s">
        <v>105</v>
      </c>
      <c r="B11" s="644"/>
      <c r="D11" s="27">
        <v>6231</v>
      </c>
      <c r="E11" s="25"/>
      <c r="F11" s="27">
        <v>7504</v>
      </c>
      <c r="G11" s="25"/>
      <c r="H11" s="27">
        <v>7377</v>
      </c>
      <c r="I11" s="24">
        <v>7966</v>
      </c>
      <c r="J11" s="24">
        <v>7874</v>
      </c>
      <c r="K11" s="24">
        <v>4313</v>
      </c>
      <c r="L11" s="25"/>
      <c r="M11" s="27">
        <v>4152</v>
      </c>
      <c r="N11" s="24">
        <v>3978</v>
      </c>
      <c r="O11" s="24">
        <v>3999</v>
      </c>
      <c r="P11" s="24">
        <v>3889</v>
      </c>
      <c r="Q11" s="26"/>
      <c r="R11" s="24">
        <v>3895</v>
      </c>
      <c r="S11" s="24">
        <v>4316</v>
      </c>
      <c r="T11" s="24">
        <v>4303</v>
      </c>
      <c r="U11" s="446">
        <v>5199</v>
      </c>
    </row>
    <row r="12" spans="1:21" ht="11.25" customHeight="1">
      <c r="A12" s="657" t="s">
        <v>128</v>
      </c>
      <c r="B12" s="657"/>
      <c r="D12" s="27">
        <v>10594</v>
      </c>
      <c r="E12" s="25"/>
      <c r="F12" s="27">
        <f>F10+F11</f>
        <v>8066</v>
      </c>
      <c r="G12" s="25"/>
      <c r="H12" s="27">
        <f>H10+H11</f>
        <v>7875</v>
      </c>
      <c r="I12" s="24">
        <f>I10+I11</f>
        <v>8299</v>
      </c>
      <c r="J12" s="24">
        <f>J10+J11</f>
        <v>7947</v>
      </c>
      <c r="K12" s="24">
        <f>K11+K10</f>
        <v>4340</v>
      </c>
      <c r="L12" s="25"/>
      <c r="M12" s="27">
        <f>M10+M11</f>
        <v>4179</v>
      </c>
      <c r="N12" s="24">
        <v>4004</v>
      </c>
      <c r="O12" s="24">
        <v>4025</v>
      </c>
      <c r="P12" s="24">
        <f>SUM(P10:P11)</f>
        <v>3897</v>
      </c>
      <c r="Q12" s="26"/>
      <c r="R12" s="24">
        <f>R10+R11</f>
        <v>3903</v>
      </c>
      <c r="S12" s="24">
        <f>S10+S11</f>
        <v>4322</v>
      </c>
      <c r="T12" s="24">
        <f>T10+T11</f>
        <v>4308</v>
      </c>
      <c r="U12" s="450">
        <f>U10+U11</f>
        <v>5203</v>
      </c>
    </row>
    <row r="13" spans="1:21" ht="11.25">
      <c r="A13" s="643" t="s">
        <v>129</v>
      </c>
      <c r="B13" s="644"/>
      <c r="D13" s="27">
        <v>214</v>
      </c>
      <c r="E13" s="25"/>
      <c r="F13" s="27">
        <v>117</v>
      </c>
      <c r="G13" s="25"/>
      <c r="H13" s="27">
        <v>133</v>
      </c>
      <c r="I13" s="24">
        <v>67</v>
      </c>
      <c r="J13" s="24">
        <v>58</v>
      </c>
      <c r="K13" s="24">
        <v>237</v>
      </c>
      <c r="L13" s="25"/>
      <c r="M13" s="27">
        <v>162</v>
      </c>
      <c r="N13" s="24">
        <v>137</v>
      </c>
      <c r="O13" s="24">
        <v>183</v>
      </c>
      <c r="P13" s="24">
        <v>110</v>
      </c>
      <c r="Q13" s="26"/>
      <c r="R13" s="24">
        <v>213</v>
      </c>
      <c r="S13" s="24">
        <v>329</v>
      </c>
      <c r="T13" s="24">
        <v>399</v>
      </c>
      <c r="U13" s="449">
        <v>320</v>
      </c>
    </row>
    <row r="14" spans="1:21" ht="11.25">
      <c r="A14" s="643" t="s">
        <v>130</v>
      </c>
      <c r="B14" s="644"/>
      <c r="D14" s="27">
        <v>931</v>
      </c>
      <c r="E14" s="25"/>
      <c r="F14" s="27">
        <v>579</v>
      </c>
      <c r="G14" s="25"/>
      <c r="H14" s="27">
        <v>602</v>
      </c>
      <c r="I14" s="24">
        <v>571</v>
      </c>
      <c r="J14" s="24">
        <v>528</v>
      </c>
      <c r="K14" s="24">
        <v>577</v>
      </c>
      <c r="L14" s="25"/>
      <c r="M14" s="27">
        <v>677</v>
      </c>
      <c r="N14" s="24">
        <v>712</v>
      </c>
      <c r="O14" s="24">
        <v>742</v>
      </c>
      <c r="P14" s="24">
        <v>614</v>
      </c>
      <c r="Q14" s="26"/>
      <c r="R14" s="24">
        <v>553</v>
      </c>
      <c r="S14" s="24">
        <v>527</v>
      </c>
      <c r="T14" s="24">
        <v>438</v>
      </c>
      <c r="U14" s="449">
        <v>541</v>
      </c>
    </row>
    <row r="15" spans="1:21" ht="11.25">
      <c r="A15" s="643" t="s">
        <v>131</v>
      </c>
      <c r="B15" s="644"/>
      <c r="D15" s="27">
        <v>627</v>
      </c>
      <c r="E15" s="25"/>
      <c r="F15" s="27">
        <v>735</v>
      </c>
      <c r="G15" s="25"/>
      <c r="H15" s="27">
        <v>787</v>
      </c>
      <c r="I15" s="24">
        <v>859</v>
      </c>
      <c r="J15" s="24">
        <v>826</v>
      </c>
      <c r="K15" s="24">
        <v>930</v>
      </c>
      <c r="L15" s="25"/>
      <c r="M15" s="27">
        <v>929</v>
      </c>
      <c r="N15" s="24">
        <v>916</v>
      </c>
      <c r="O15" s="24">
        <v>940</v>
      </c>
      <c r="P15" s="24">
        <v>762</v>
      </c>
      <c r="Q15" s="26"/>
      <c r="R15" s="24">
        <v>804</v>
      </c>
      <c r="S15" s="24">
        <v>781</v>
      </c>
      <c r="T15" s="24">
        <v>778</v>
      </c>
      <c r="U15" s="446">
        <v>716</v>
      </c>
    </row>
    <row r="16" spans="1:21" ht="11.25" customHeight="1">
      <c r="A16" s="657" t="s">
        <v>132</v>
      </c>
      <c r="B16" s="657"/>
      <c r="D16" s="27">
        <v>1772</v>
      </c>
      <c r="E16" s="25"/>
      <c r="F16" s="27">
        <f>F13+F14+F15</f>
        <v>1431</v>
      </c>
      <c r="G16" s="25"/>
      <c r="H16" s="27">
        <f>H13+H14+H15</f>
        <v>1522</v>
      </c>
      <c r="I16" s="24">
        <f>I13+I14+I15</f>
        <v>1497</v>
      </c>
      <c r="J16" s="24">
        <f>J13+J14+J15</f>
        <v>1412</v>
      </c>
      <c r="K16" s="24">
        <f>K13+K14+K15</f>
        <v>1744</v>
      </c>
      <c r="L16" s="25"/>
      <c r="M16" s="27">
        <f>M13+M14+M15</f>
        <v>1768</v>
      </c>
      <c r="N16" s="24">
        <f>N13+N14+N15</f>
        <v>1765</v>
      </c>
      <c r="O16" s="24">
        <v>1865</v>
      </c>
      <c r="P16" s="24">
        <f>SUM(P13:P15)</f>
        <v>1486</v>
      </c>
      <c r="Q16" s="26"/>
      <c r="R16" s="24">
        <f>R13+R14+R15</f>
        <v>1570</v>
      </c>
      <c r="S16" s="24">
        <f>S13+S14+S15</f>
        <v>1637</v>
      </c>
      <c r="T16" s="24">
        <f>T13+T14+T15</f>
        <v>1615</v>
      </c>
      <c r="U16" s="450">
        <f>U13+U14+U15</f>
        <v>1577</v>
      </c>
    </row>
    <row r="17" spans="1:21" ht="11.25">
      <c r="A17" s="643" t="s">
        <v>133</v>
      </c>
      <c r="B17" s="644"/>
      <c r="D17" s="27">
        <v>535</v>
      </c>
      <c r="E17" s="25"/>
      <c r="F17" s="27">
        <v>557</v>
      </c>
      <c r="G17" s="25"/>
      <c r="H17" s="27">
        <v>562</v>
      </c>
      <c r="I17" s="24">
        <v>608</v>
      </c>
      <c r="J17" s="24">
        <v>512</v>
      </c>
      <c r="K17" s="24">
        <v>511</v>
      </c>
      <c r="L17" s="25"/>
      <c r="M17" s="27">
        <v>456</v>
      </c>
      <c r="N17" s="24">
        <v>372</v>
      </c>
      <c r="O17" s="24">
        <v>340</v>
      </c>
      <c r="P17" s="24">
        <v>389</v>
      </c>
      <c r="Q17" s="26"/>
      <c r="R17" s="24">
        <v>487</v>
      </c>
      <c r="S17" s="24">
        <v>542</v>
      </c>
      <c r="T17" s="24">
        <v>420</v>
      </c>
      <c r="U17" s="449">
        <v>309</v>
      </c>
    </row>
    <row r="18" spans="1:21" ht="11.25">
      <c r="A18" s="643" t="s">
        <v>134</v>
      </c>
      <c r="B18" s="644"/>
      <c r="D18" s="27">
        <v>129</v>
      </c>
      <c r="E18" s="25"/>
      <c r="F18" s="27">
        <v>97</v>
      </c>
      <c r="G18" s="25"/>
      <c r="H18" s="27">
        <v>123</v>
      </c>
      <c r="I18" s="24">
        <v>125</v>
      </c>
      <c r="J18" s="24">
        <v>125</v>
      </c>
      <c r="K18" s="24">
        <v>117</v>
      </c>
      <c r="L18" s="25"/>
      <c r="M18" s="27">
        <v>117</v>
      </c>
      <c r="N18" s="24">
        <v>118</v>
      </c>
      <c r="O18" s="24">
        <v>113</v>
      </c>
      <c r="P18" s="24">
        <v>112</v>
      </c>
      <c r="Q18" s="26"/>
      <c r="R18" s="24">
        <v>111</v>
      </c>
      <c r="S18" s="24">
        <v>109</v>
      </c>
      <c r="T18" s="24">
        <v>121</v>
      </c>
      <c r="U18" s="446">
        <v>109</v>
      </c>
    </row>
    <row r="19" spans="1:21" ht="11.25" customHeight="1">
      <c r="A19" s="658" t="s">
        <v>135</v>
      </c>
      <c r="B19" s="658"/>
      <c r="C19" s="82"/>
      <c r="D19" s="20">
        <v>33569</v>
      </c>
      <c r="E19" s="18"/>
      <c r="F19" s="20">
        <f>F6+F9+F12+F13+F14+F15+F17+F18</f>
        <v>30448</v>
      </c>
      <c r="G19" s="18"/>
      <c r="H19" s="20">
        <f>H6+H9+H12+H13+H14+H15+H17+H18</f>
        <v>30680</v>
      </c>
      <c r="I19" s="17">
        <f>I6+I9+I12+I13+I14+I15+I17+I18</f>
        <v>31715</v>
      </c>
      <c r="J19" s="17">
        <f>J6+J9+J12+J13+J14+J15+J17+J18</f>
        <v>31296</v>
      </c>
      <c r="K19" s="17">
        <f>K6+K9+K12+K13+K14+K15+K17+K18</f>
        <v>27202</v>
      </c>
      <c r="L19" s="18"/>
      <c r="M19" s="20">
        <f>M6+M9+M12+M13+M14+M15+M17+M18</f>
        <v>26981</v>
      </c>
      <c r="N19" s="17">
        <f>N6+N9+N12+N13+N14+N15+N17+N18</f>
        <v>26728</v>
      </c>
      <c r="O19" s="17">
        <v>27072</v>
      </c>
      <c r="P19" s="17">
        <f>P6+P9+P12+P16+P17+P18</f>
        <v>26515</v>
      </c>
      <c r="Q19" s="19"/>
      <c r="R19" s="17">
        <f>R6+R9+R12+R13+R14+R15+R17+R18</f>
        <v>26735</v>
      </c>
      <c r="S19" s="17">
        <f>S6+S9+S12+S13+S14+S15+S17+S18</f>
        <v>27589</v>
      </c>
      <c r="T19" s="17">
        <f>T6+T9+T12+T13+T14+T15+T17+T18</f>
        <v>27684</v>
      </c>
      <c r="U19" s="445">
        <f>U6+U9+U12+U16+U17+U18</f>
        <v>29375</v>
      </c>
    </row>
    <row r="20" spans="1:21" ht="11.25" customHeight="1">
      <c r="A20" s="657" t="s">
        <v>136</v>
      </c>
      <c r="B20" s="657"/>
      <c r="D20" s="27">
        <v>3362</v>
      </c>
      <c r="E20" s="25"/>
      <c r="F20" s="27">
        <v>3382</v>
      </c>
      <c r="G20" s="25"/>
      <c r="H20" s="27">
        <v>3935</v>
      </c>
      <c r="I20" s="24">
        <v>4066</v>
      </c>
      <c r="J20" s="24">
        <v>4225</v>
      </c>
      <c r="K20" s="24">
        <v>3497</v>
      </c>
      <c r="L20" s="25"/>
      <c r="M20" s="27">
        <v>4154</v>
      </c>
      <c r="N20" s="24">
        <v>4512</v>
      </c>
      <c r="O20" s="24">
        <v>4931</v>
      </c>
      <c r="P20" s="24">
        <v>4562</v>
      </c>
      <c r="Q20" s="26"/>
      <c r="R20" s="24">
        <v>5468</v>
      </c>
      <c r="S20" s="24">
        <v>5568</v>
      </c>
      <c r="T20" s="24">
        <v>5519</v>
      </c>
      <c r="U20" s="450">
        <v>4983</v>
      </c>
    </row>
    <row r="21" spans="1:21" ht="11.25" customHeight="1">
      <c r="A21" s="657" t="s">
        <v>137</v>
      </c>
      <c r="B21" s="657"/>
      <c r="D21" s="27">
        <v>1890</v>
      </c>
      <c r="E21" s="25"/>
      <c r="F21" s="27">
        <v>1541</v>
      </c>
      <c r="G21" s="25"/>
      <c r="H21" s="27">
        <v>1077</v>
      </c>
      <c r="I21" s="24">
        <v>1146</v>
      </c>
      <c r="J21" s="24">
        <v>955</v>
      </c>
      <c r="K21" s="24">
        <v>1292</v>
      </c>
      <c r="L21" s="25"/>
      <c r="M21" s="27">
        <v>1206</v>
      </c>
      <c r="N21" s="24">
        <v>1097</v>
      </c>
      <c r="O21" s="24">
        <v>1127</v>
      </c>
      <c r="P21" s="24">
        <v>1522</v>
      </c>
      <c r="Q21" s="26"/>
      <c r="R21" s="24">
        <v>1192</v>
      </c>
      <c r="S21" s="24">
        <v>1222</v>
      </c>
      <c r="T21" s="24">
        <v>1229</v>
      </c>
      <c r="U21" s="449">
        <v>799</v>
      </c>
    </row>
    <row r="22" spans="1:21" ht="11.25" customHeight="1">
      <c r="A22" s="657" t="s">
        <v>138</v>
      </c>
      <c r="B22" s="657"/>
      <c r="D22" s="27">
        <v>445</v>
      </c>
      <c r="E22" s="25"/>
      <c r="F22" s="27">
        <v>542</v>
      </c>
      <c r="G22" s="25"/>
      <c r="H22" s="27">
        <v>334</v>
      </c>
      <c r="I22" s="24">
        <v>336</v>
      </c>
      <c r="J22" s="24">
        <v>288</v>
      </c>
      <c r="K22" s="24">
        <v>267</v>
      </c>
      <c r="L22" s="25"/>
      <c r="M22" s="27">
        <v>233</v>
      </c>
      <c r="N22" s="24">
        <v>228</v>
      </c>
      <c r="O22" s="24">
        <v>224</v>
      </c>
      <c r="P22" s="24">
        <v>277</v>
      </c>
      <c r="Q22" s="26"/>
      <c r="R22" s="24">
        <v>213</v>
      </c>
      <c r="S22" s="24">
        <v>226</v>
      </c>
      <c r="T22" s="24">
        <v>233</v>
      </c>
      <c r="U22" s="449">
        <v>417</v>
      </c>
    </row>
    <row r="23" spans="1:21" ht="11.25" customHeight="1">
      <c r="A23" s="657" t="s">
        <v>129</v>
      </c>
      <c r="B23" s="657"/>
      <c r="D23" s="27">
        <v>277</v>
      </c>
      <c r="E23" s="25"/>
      <c r="F23" s="27">
        <v>7</v>
      </c>
      <c r="G23" s="25"/>
      <c r="H23" s="27">
        <v>80</v>
      </c>
      <c r="I23" s="24">
        <v>33</v>
      </c>
      <c r="J23" s="24">
        <v>56</v>
      </c>
      <c r="K23" s="24">
        <v>72</v>
      </c>
      <c r="L23" s="25"/>
      <c r="M23" s="27">
        <v>78</v>
      </c>
      <c r="N23" s="24">
        <v>101</v>
      </c>
      <c r="O23" s="24">
        <v>110</v>
      </c>
      <c r="P23" s="24">
        <v>196</v>
      </c>
      <c r="Q23" s="26"/>
      <c r="R23" s="24">
        <v>264</v>
      </c>
      <c r="S23" s="24">
        <v>158</v>
      </c>
      <c r="T23" s="24">
        <v>244</v>
      </c>
      <c r="U23" s="449">
        <v>301</v>
      </c>
    </row>
    <row r="24" spans="1:21" ht="11.25" customHeight="1">
      <c r="A24" s="657" t="s">
        <v>139</v>
      </c>
      <c r="B24" s="657"/>
      <c r="D24" s="27">
        <v>356</v>
      </c>
      <c r="E24" s="25"/>
      <c r="F24" s="27">
        <v>383</v>
      </c>
      <c r="G24" s="25"/>
      <c r="H24" s="27">
        <v>403</v>
      </c>
      <c r="I24" s="24">
        <v>417</v>
      </c>
      <c r="J24" s="24">
        <v>340</v>
      </c>
      <c r="K24" s="24">
        <v>252</v>
      </c>
      <c r="L24" s="25"/>
      <c r="M24" s="27">
        <v>353</v>
      </c>
      <c r="N24" s="24">
        <v>389</v>
      </c>
      <c r="O24" s="24">
        <v>435</v>
      </c>
      <c r="P24" s="24">
        <v>464</v>
      </c>
      <c r="Q24" s="26"/>
      <c r="R24" s="24">
        <f>270+239</f>
        <v>509</v>
      </c>
      <c r="S24" s="24">
        <f>296+402</f>
        <v>698</v>
      </c>
      <c r="T24" s="24">
        <f>266+257</f>
        <v>523</v>
      </c>
      <c r="U24" s="449">
        <f>273+132</f>
        <v>405</v>
      </c>
    </row>
    <row r="25" spans="1:21" ht="11.25" customHeight="1">
      <c r="A25" s="657" t="s">
        <v>140</v>
      </c>
      <c r="B25" s="657"/>
      <c r="D25" s="27">
        <v>475</v>
      </c>
      <c r="E25" s="25"/>
      <c r="F25" s="27">
        <v>461</v>
      </c>
      <c r="G25" s="25"/>
      <c r="H25" s="27">
        <v>589</v>
      </c>
      <c r="I25" s="24">
        <v>698</v>
      </c>
      <c r="J25" s="24">
        <v>731</v>
      </c>
      <c r="K25" s="24">
        <v>860</v>
      </c>
      <c r="L25" s="25"/>
      <c r="M25" s="27">
        <v>624</v>
      </c>
      <c r="N25" s="24">
        <v>446</v>
      </c>
      <c r="O25" s="24">
        <v>407</v>
      </c>
      <c r="P25" s="24">
        <v>586</v>
      </c>
      <c r="Q25" s="26"/>
      <c r="R25" s="24">
        <v>523</v>
      </c>
      <c r="S25" s="24">
        <v>610</v>
      </c>
      <c r="T25" s="24">
        <v>789</v>
      </c>
      <c r="U25" s="446">
        <v>957</v>
      </c>
    </row>
    <row r="26" spans="1:21" ht="12" customHeight="1" thickBot="1">
      <c r="A26" s="658" t="s">
        <v>141</v>
      </c>
      <c r="B26" s="658"/>
      <c r="C26" s="82"/>
      <c r="D26" s="20">
        <v>6805</v>
      </c>
      <c r="E26" s="18"/>
      <c r="F26" s="20">
        <f>F20+F21+F22+F23+F25+F24</f>
        <v>6316</v>
      </c>
      <c r="G26" s="18"/>
      <c r="H26" s="20">
        <f>H20+H21+H22+H23+H25+H24</f>
        <v>6418</v>
      </c>
      <c r="I26" s="17">
        <f>I20+I21+I22+I23+I25+I24</f>
        <v>6696</v>
      </c>
      <c r="J26" s="17">
        <f>J20+J21+J22+J23+J25+J24</f>
        <v>6595</v>
      </c>
      <c r="K26" s="17">
        <f>K20+K21+K22+K23+K25+K24</f>
        <v>6240</v>
      </c>
      <c r="L26" s="18"/>
      <c r="M26" s="20">
        <f>M20+M21+M22+M23+M25+M24</f>
        <v>6648</v>
      </c>
      <c r="N26" s="17">
        <f>N20+N21+N22+N23+N25+N24</f>
        <v>6773</v>
      </c>
      <c r="O26" s="17">
        <v>7234</v>
      </c>
      <c r="P26" s="17">
        <f>SUM(P20:P25)</f>
        <v>7607</v>
      </c>
      <c r="Q26" s="19"/>
      <c r="R26" s="17">
        <f>R20+R21+R22+R23+R25+R24</f>
        <v>8169</v>
      </c>
      <c r="S26" s="17">
        <f>S20+S21+S22+S23+S25+S24</f>
        <v>8482</v>
      </c>
      <c r="T26" s="17">
        <f>T20+T21+T22+T23+T25+T24</f>
        <v>8537</v>
      </c>
      <c r="U26" s="445">
        <f>U20+U21+U22+U23+U24+U25</f>
        <v>7862</v>
      </c>
    </row>
    <row r="27" spans="1:247" ht="12" customHeight="1" thickBot="1">
      <c r="A27" s="658" t="s">
        <v>142</v>
      </c>
      <c r="B27" s="658"/>
      <c r="C27" s="82"/>
      <c r="D27" s="20">
        <v>40374</v>
      </c>
      <c r="E27" s="18"/>
      <c r="F27" s="20">
        <f>F19+F26</f>
        <v>36764</v>
      </c>
      <c r="G27" s="18"/>
      <c r="H27" s="20">
        <f>H19+H26</f>
        <v>37098</v>
      </c>
      <c r="I27" s="17">
        <f>I19+I26</f>
        <v>38411</v>
      </c>
      <c r="J27" s="17">
        <f>J19+J26</f>
        <v>37891</v>
      </c>
      <c r="K27" s="17">
        <f>K19+K26</f>
        <v>33442</v>
      </c>
      <c r="L27" s="18"/>
      <c r="M27" s="20">
        <f aca="true" t="shared" si="0" ref="M27:T27">M19+M26</f>
        <v>33629</v>
      </c>
      <c r="N27" s="17">
        <f t="shared" si="0"/>
        <v>33501</v>
      </c>
      <c r="O27" s="17">
        <f t="shared" si="0"/>
        <v>34306</v>
      </c>
      <c r="P27" s="17">
        <f t="shared" si="0"/>
        <v>34122</v>
      </c>
      <c r="Q27" s="19"/>
      <c r="R27" s="17">
        <f t="shared" si="0"/>
        <v>34904</v>
      </c>
      <c r="S27" s="17">
        <f t="shared" si="0"/>
        <v>36071</v>
      </c>
      <c r="T27" s="17">
        <f t="shared" si="0"/>
        <v>36221</v>
      </c>
      <c r="U27" s="445">
        <f>U26+U19</f>
        <v>37237</v>
      </c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453"/>
      <c r="DM27" s="453"/>
      <c r="DN27" s="453"/>
      <c r="DO27" s="453"/>
      <c r="DP27" s="453"/>
      <c r="DQ27" s="453"/>
      <c r="DR27" s="453"/>
      <c r="DS27" s="453"/>
      <c r="DT27" s="453"/>
      <c r="DU27" s="453"/>
      <c r="DV27" s="453"/>
      <c r="DW27" s="453"/>
      <c r="DX27" s="453"/>
      <c r="DY27" s="453"/>
      <c r="DZ27" s="453"/>
      <c r="EA27" s="453"/>
      <c r="EB27" s="453"/>
      <c r="EC27" s="453"/>
      <c r="ED27" s="453"/>
      <c r="EE27" s="453"/>
      <c r="EF27" s="453"/>
      <c r="EG27" s="453"/>
      <c r="EH27" s="453"/>
      <c r="EI27" s="453"/>
      <c r="EJ27" s="453"/>
      <c r="EK27" s="453"/>
      <c r="EL27" s="453"/>
      <c r="EM27" s="453"/>
      <c r="EN27" s="453"/>
      <c r="EO27" s="453"/>
      <c r="EP27" s="453"/>
      <c r="EQ27" s="453"/>
      <c r="ER27" s="453"/>
      <c r="ES27" s="453"/>
      <c r="ET27" s="453"/>
      <c r="EU27" s="453"/>
      <c r="EV27" s="453"/>
      <c r="EW27" s="453"/>
      <c r="EX27" s="453"/>
      <c r="EY27" s="453"/>
      <c r="EZ27" s="453"/>
      <c r="FA27" s="453"/>
      <c r="FB27" s="453"/>
      <c r="FC27" s="453"/>
      <c r="FD27" s="453"/>
      <c r="FE27" s="453"/>
      <c r="FF27" s="453"/>
      <c r="FG27" s="453"/>
      <c r="FH27" s="453"/>
      <c r="FI27" s="453"/>
      <c r="FJ27" s="453"/>
      <c r="FK27" s="453"/>
      <c r="FL27" s="453"/>
      <c r="FM27" s="453"/>
      <c r="FN27" s="453"/>
      <c r="FO27" s="453"/>
      <c r="FP27" s="453"/>
      <c r="FQ27" s="453"/>
      <c r="FR27" s="453"/>
      <c r="FS27" s="453"/>
      <c r="FT27" s="453"/>
      <c r="FU27" s="453"/>
      <c r="FV27" s="453"/>
      <c r="FW27" s="453"/>
      <c r="FX27" s="453"/>
      <c r="FY27" s="453"/>
      <c r="FZ27" s="453"/>
      <c r="GA27" s="453"/>
      <c r="GB27" s="453"/>
      <c r="GC27" s="453"/>
      <c r="GD27" s="453"/>
      <c r="GE27" s="453"/>
      <c r="GF27" s="453"/>
      <c r="GG27" s="453"/>
      <c r="GH27" s="453"/>
      <c r="GI27" s="453"/>
      <c r="GJ27" s="453"/>
      <c r="GK27" s="453"/>
      <c r="GL27" s="453"/>
      <c r="GM27" s="453"/>
      <c r="GN27" s="453"/>
      <c r="GO27" s="453"/>
      <c r="GP27" s="453"/>
      <c r="GQ27" s="453"/>
      <c r="GR27" s="453"/>
      <c r="GS27" s="453"/>
      <c r="GT27" s="453"/>
      <c r="GU27" s="453"/>
      <c r="GV27" s="453"/>
      <c r="GW27" s="453"/>
      <c r="GX27" s="453"/>
      <c r="GY27" s="453"/>
      <c r="GZ27" s="453"/>
      <c r="HA27" s="453"/>
      <c r="HB27" s="453"/>
      <c r="HC27" s="453"/>
      <c r="HD27" s="453"/>
      <c r="HE27" s="453"/>
      <c r="HF27" s="453"/>
      <c r="HG27" s="453"/>
      <c r="HH27" s="453"/>
      <c r="HI27" s="453"/>
      <c r="HJ27" s="453"/>
      <c r="HK27" s="453"/>
      <c r="HL27" s="453"/>
      <c r="HM27" s="453"/>
      <c r="HN27" s="453"/>
      <c r="HO27" s="453"/>
      <c r="HP27" s="453"/>
      <c r="HQ27" s="453"/>
      <c r="HR27" s="453"/>
      <c r="HS27" s="453"/>
      <c r="HT27" s="453"/>
      <c r="HU27" s="453"/>
      <c r="HV27" s="453"/>
      <c r="HW27" s="453"/>
      <c r="HX27" s="453"/>
      <c r="HY27" s="453"/>
      <c r="HZ27" s="453"/>
      <c r="IA27" s="453"/>
      <c r="IB27" s="453"/>
      <c r="IC27" s="453"/>
      <c r="ID27" s="453"/>
      <c r="IE27" s="453"/>
      <c r="IF27" s="453"/>
      <c r="IG27" s="453"/>
      <c r="IH27" s="453"/>
      <c r="II27" s="453"/>
      <c r="IJ27" s="453"/>
      <c r="IK27" s="453"/>
      <c r="IL27" s="453"/>
      <c r="IM27" s="453"/>
    </row>
    <row r="28" spans="1:247" ht="11.25">
      <c r="A28" s="590"/>
      <c r="B28" s="590"/>
      <c r="C28" s="84"/>
      <c r="D28" s="40"/>
      <c r="E28" s="18"/>
      <c r="F28" s="40"/>
      <c r="G28" s="18"/>
      <c r="H28" s="40"/>
      <c r="I28" s="39"/>
      <c r="J28" s="39"/>
      <c r="K28" s="591"/>
      <c r="L28" s="25"/>
      <c r="M28" s="40"/>
      <c r="N28" s="591"/>
      <c r="O28" s="591"/>
      <c r="P28" s="591"/>
      <c r="Q28" s="26"/>
      <c r="R28" s="591"/>
      <c r="S28" s="591"/>
      <c r="T28" s="591"/>
      <c r="U28" s="449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  <c r="IL28" s="87"/>
      <c r="IM28" s="87"/>
    </row>
    <row r="29" spans="1:21" ht="11.25" customHeight="1">
      <c r="A29" s="658" t="s">
        <v>143</v>
      </c>
      <c r="B29" s="658"/>
      <c r="C29" s="82"/>
      <c r="D29" s="47"/>
      <c r="E29" s="18"/>
      <c r="F29" s="47"/>
      <c r="G29" s="18"/>
      <c r="H29" s="47"/>
      <c r="I29" s="46"/>
      <c r="J29" s="46"/>
      <c r="K29" s="42"/>
      <c r="L29" s="25"/>
      <c r="M29" s="47"/>
      <c r="N29" s="42"/>
      <c r="O29" s="42"/>
      <c r="P29" s="42"/>
      <c r="Q29" s="26"/>
      <c r="R29" s="43"/>
      <c r="S29" s="42"/>
      <c r="T29" s="592"/>
      <c r="U29" s="451"/>
    </row>
    <row r="30" spans="1:21" ht="11.25">
      <c r="A30" s="643" t="s">
        <v>144</v>
      </c>
      <c r="B30" s="644"/>
      <c r="D30" s="27">
        <v>2000</v>
      </c>
      <c r="E30" s="25"/>
      <c r="F30" s="27">
        <v>2000</v>
      </c>
      <c r="G30" s="25"/>
      <c r="H30" s="27">
        <v>2000</v>
      </c>
      <c r="I30" s="24">
        <v>2000</v>
      </c>
      <c r="J30" s="24">
        <v>2000</v>
      </c>
      <c r="K30" s="24">
        <v>2000</v>
      </c>
      <c r="L30" s="25"/>
      <c r="M30" s="27">
        <v>2000</v>
      </c>
      <c r="N30" s="24">
        <v>2000</v>
      </c>
      <c r="O30" s="24">
        <v>2000</v>
      </c>
      <c r="P30" s="24">
        <v>2000</v>
      </c>
      <c r="Q30" s="26"/>
      <c r="R30" s="24">
        <v>2000</v>
      </c>
      <c r="S30" s="24">
        <v>2000</v>
      </c>
      <c r="T30" s="24">
        <v>2000</v>
      </c>
      <c r="U30" s="449">
        <v>2000</v>
      </c>
    </row>
    <row r="31" spans="1:21" ht="11.25">
      <c r="A31" s="643" t="s">
        <v>145</v>
      </c>
      <c r="B31" s="644"/>
      <c r="D31" s="27">
        <v>377</v>
      </c>
      <c r="E31" s="25"/>
      <c r="F31" s="27">
        <v>-64</v>
      </c>
      <c r="G31" s="25"/>
      <c r="H31" s="27">
        <v>48</v>
      </c>
      <c r="I31" s="24">
        <v>-64</v>
      </c>
      <c r="J31" s="24">
        <v>-75</v>
      </c>
      <c r="K31" s="24">
        <v>-183</v>
      </c>
      <c r="L31" s="25"/>
      <c r="M31" s="27">
        <v>26</v>
      </c>
      <c r="N31" s="24">
        <v>100</v>
      </c>
      <c r="O31" s="24">
        <v>170</v>
      </c>
      <c r="P31" s="24">
        <v>158</v>
      </c>
      <c r="Q31" s="26"/>
      <c r="R31" s="24">
        <v>-556</v>
      </c>
      <c r="S31" s="24">
        <v>-636</v>
      </c>
      <c r="T31" s="24">
        <v>-537</v>
      </c>
      <c r="U31" s="449">
        <v>-444</v>
      </c>
    </row>
    <row r="32" spans="1:21" ht="11.25">
      <c r="A32" s="643" t="s">
        <v>146</v>
      </c>
      <c r="B32" s="644"/>
      <c r="D32" s="27">
        <v>741</v>
      </c>
      <c r="E32" s="25"/>
      <c r="F32" s="27">
        <v>1868</v>
      </c>
      <c r="G32" s="25"/>
      <c r="H32" s="27">
        <v>1704</v>
      </c>
      <c r="I32" s="24">
        <v>1917</v>
      </c>
      <c r="J32" s="24">
        <v>1869</v>
      </c>
      <c r="K32" s="24">
        <v>2216</v>
      </c>
      <c r="L32" s="25"/>
      <c r="M32" s="27">
        <v>2160</v>
      </c>
      <c r="N32" s="24">
        <v>2272</v>
      </c>
      <c r="O32" s="24">
        <v>2341</v>
      </c>
      <c r="P32" s="24">
        <v>2427</v>
      </c>
      <c r="Q32" s="26"/>
      <c r="R32" s="24">
        <v>2313</v>
      </c>
      <c r="S32" s="24">
        <v>2094</v>
      </c>
      <c r="T32" s="24">
        <v>2172</v>
      </c>
      <c r="U32" s="449">
        <v>2005</v>
      </c>
    </row>
    <row r="33" spans="1:21" ht="11.25">
      <c r="A33" s="643" t="s">
        <v>147</v>
      </c>
      <c r="B33" s="644"/>
      <c r="D33" s="27">
        <v>22184</v>
      </c>
      <c r="E33" s="25"/>
      <c r="F33" s="27">
        <v>16407</v>
      </c>
      <c r="G33" s="25"/>
      <c r="H33" s="27">
        <v>16569</v>
      </c>
      <c r="I33" s="24">
        <v>16405</v>
      </c>
      <c r="J33" s="24">
        <v>16735</v>
      </c>
      <c r="K33" s="24">
        <v>11739</v>
      </c>
      <c r="L33" s="25"/>
      <c r="M33" s="27">
        <v>12449</v>
      </c>
      <c r="N33" s="24">
        <v>12591</v>
      </c>
      <c r="O33" s="24">
        <v>13195</v>
      </c>
      <c r="P33" s="24">
        <v>13109</v>
      </c>
      <c r="Q33" s="26"/>
      <c r="R33" s="24">
        <v>14354</v>
      </c>
      <c r="S33" s="24">
        <v>14525</v>
      </c>
      <c r="T33" s="24">
        <v>14889</v>
      </c>
      <c r="U33" s="446">
        <v>15572</v>
      </c>
    </row>
    <row r="34" spans="1:21" ht="11.25" customHeight="1">
      <c r="A34" s="657" t="s">
        <v>148</v>
      </c>
      <c r="B34" s="657"/>
      <c r="D34" s="27">
        <v>25302</v>
      </c>
      <c r="E34" s="25"/>
      <c r="F34" s="27">
        <f>F30+F31+F33+F32</f>
        <v>20211</v>
      </c>
      <c r="G34" s="25"/>
      <c r="H34" s="27">
        <f>H30+H31+H33+H32</f>
        <v>20321</v>
      </c>
      <c r="I34" s="24">
        <f>I30+I31+I33+I32</f>
        <v>20258</v>
      </c>
      <c r="J34" s="24">
        <f>J30+J31+J33+J32</f>
        <v>20529</v>
      </c>
      <c r="K34" s="24">
        <f>K30+K31+K33+K32</f>
        <v>15772</v>
      </c>
      <c r="L34" s="25"/>
      <c r="M34" s="27">
        <v>16635</v>
      </c>
      <c r="N34" s="24">
        <f>N33+N32+N31+N30</f>
        <v>16963</v>
      </c>
      <c r="O34" s="24">
        <v>17706</v>
      </c>
      <c r="P34" s="24">
        <f>SUM(P30:P33)</f>
        <v>17694</v>
      </c>
      <c r="Q34" s="26"/>
      <c r="R34" s="24">
        <f>SUM(R30:R33)</f>
        <v>18111</v>
      </c>
      <c r="S34" s="24">
        <f>SUM(S30:S33)</f>
        <v>17983</v>
      </c>
      <c r="T34" s="24">
        <f>SUM(T30:T33)</f>
        <v>18524</v>
      </c>
      <c r="U34" s="450">
        <f>U30+U31+U32+U33</f>
        <v>19133</v>
      </c>
    </row>
    <row r="35" spans="1:21" ht="11.25">
      <c r="A35" s="659" t="s">
        <v>149</v>
      </c>
      <c r="B35" s="659"/>
      <c r="C35" s="452"/>
      <c r="D35" s="27">
        <v>228</v>
      </c>
      <c r="E35" s="25"/>
      <c r="F35" s="27">
        <v>203</v>
      </c>
      <c r="G35" s="25"/>
      <c r="H35" s="27">
        <v>218</v>
      </c>
      <c r="I35" s="24">
        <v>218</v>
      </c>
      <c r="J35" s="24">
        <v>215</v>
      </c>
      <c r="K35" s="24">
        <v>139</v>
      </c>
      <c r="L35" s="25"/>
      <c r="M35" s="27">
        <v>136</v>
      </c>
      <c r="N35" s="24">
        <v>136</v>
      </c>
      <c r="O35" s="24">
        <v>144</v>
      </c>
      <c r="P35" s="24">
        <v>91</v>
      </c>
      <c r="Q35" s="26"/>
      <c r="R35" s="24">
        <v>90</v>
      </c>
      <c r="S35" s="24">
        <v>91</v>
      </c>
      <c r="T35" s="24">
        <v>93</v>
      </c>
      <c r="U35" s="446">
        <v>92</v>
      </c>
    </row>
    <row r="36" spans="1:21" ht="11.25" customHeight="1">
      <c r="A36" s="658" t="s">
        <v>150</v>
      </c>
      <c r="B36" s="658"/>
      <c r="C36" s="82"/>
      <c r="D36" s="20">
        <v>25530</v>
      </c>
      <c r="E36" s="18"/>
      <c r="F36" s="20">
        <f>F30+F31+F33+F35+F32</f>
        <v>20414</v>
      </c>
      <c r="G36" s="18"/>
      <c r="H36" s="20">
        <f>H30+H31+H33+H35+H32</f>
        <v>20539</v>
      </c>
      <c r="I36" s="17">
        <f>I30+I31+I33+I35+I32</f>
        <v>20476</v>
      </c>
      <c r="J36" s="17">
        <f>J30+J31+J33+J35+J32</f>
        <v>20744</v>
      </c>
      <c r="K36" s="17">
        <f>K30+K31+K33+K35+K32</f>
        <v>15911</v>
      </c>
      <c r="L36" s="18"/>
      <c r="M36" s="20">
        <f aca="true" t="shared" si="1" ref="M36:T36">M30+M31+M33+M35+M32</f>
        <v>16771</v>
      </c>
      <c r="N36" s="17">
        <f t="shared" si="1"/>
        <v>17099</v>
      </c>
      <c r="O36" s="17">
        <f t="shared" si="1"/>
        <v>17850</v>
      </c>
      <c r="P36" s="17">
        <f t="shared" si="1"/>
        <v>17785</v>
      </c>
      <c r="Q36" s="19"/>
      <c r="R36" s="17">
        <f t="shared" si="1"/>
        <v>18201</v>
      </c>
      <c r="S36" s="17">
        <f t="shared" si="1"/>
        <v>18074</v>
      </c>
      <c r="T36" s="17">
        <f t="shared" si="1"/>
        <v>18617</v>
      </c>
      <c r="U36" s="445">
        <f>U35+U34</f>
        <v>19225</v>
      </c>
    </row>
    <row r="37" spans="1:21" ht="11.25">
      <c r="A37" s="643" t="s">
        <v>151</v>
      </c>
      <c r="B37" s="644"/>
      <c r="D37" s="27">
        <v>2997</v>
      </c>
      <c r="E37" s="25"/>
      <c r="F37" s="27">
        <v>4870</v>
      </c>
      <c r="G37" s="25"/>
      <c r="H37" s="27">
        <v>4412</v>
      </c>
      <c r="I37" s="24">
        <v>5816</v>
      </c>
      <c r="J37" s="24">
        <v>6469</v>
      </c>
      <c r="K37" s="24">
        <v>6539</v>
      </c>
      <c r="L37" s="25"/>
      <c r="M37" s="27">
        <v>5587</v>
      </c>
      <c r="N37" s="24">
        <v>5493</v>
      </c>
      <c r="O37" s="24">
        <v>5790</v>
      </c>
      <c r="P37" s="24">
        <v>6191</v>
      </c>
      <c r="Q37" s="26"/>
      <c r="R37" s="24">
        <v>5986</v>
      </c>
      <c r="S37" s="24">
        <v>7472</v>
      </c>
      <c r="T37" s="24">
        <v>7134</v>
      </c>
      <c r="U37" s="450">
        <v>6878</v>
      </c>
    </row>
    <row r="38" spans="1:21" ht="11.25">
      <c r="A38" s="643" t="s">
        <v>129</v>
      </c>
      <c r="B38" s="644"/>
      <c r="D38" s="27">
        <v>123</v>
      </c>
      <c r="E38" s="25"/>
      <c r="F38" s="27">
        <v>159</v>
      </c>
      <c r="G38" s="25"/>
      <c r="H38" s="27">
        <v>154</v>
      </c>
      <c r="I38" s="24">
        <v>211</v>
      </c>
      <c r="J38" s="24">
        <v>125</v>
      </c>
      <c r="K38" s="24">
        <v>256</v>
      </c>
      <c r="L38" s="25"/>
      <c r="M38" s="27">
        <v>153</v>
      </c>
      <c r="N38" s="24">
        <v>118</v>
      </c>
      <c r="O38" s="24">
        <v>169</v>
      </c>
      <c r="P38" s="24">
        <v>208</v>
      </c>
      <c r="Q38" s="26"/>
      <c r="R38" s="24">
        <v>178</v>
      </c>
      <c r="S38" s="24">
        <v>204</v>
      </c>
      <c r="T38" s="24">
        <v>183</v>
      </c>
      <c r="U38" s="449">
        <v>162</v>
      </c>
    </row>
    <row r="39" spans="1:21" ht="11.25">
      <c r="A39" s="643" t="s">
        <v>152</v>
      </c>
      <c r="B39" s="644"/>
      <c r="D39" s="27">
        <v>2011</v>
      </c>
      <c r="E39" s="25"/>
      <c r="F39" s="27">
        <v>1979</v>
      </c>
      <c r="G39" s="25"/>
      <c r="H39" s="27">
        <v>2033</v>
      </c>
      <c r="I39" s="24">
        <v>2071</v>
      </c>
      <c r="J39" s="24">
        <v>2012</v>
      </c>
      <c r="K39" s="24">
        <v>1860</v>
      </c>
      <c r="L39" s="25"/>
      <c r="M39" s="27">
        <v>2061</v>
      </c>
      <c r="N39" s="24">
        <v>2071</v>
      </c>
      <c r="O39" s="24">
        <v>2063</v>
      </c>
      <c r="P39" s="24">
        <v>2063</v>
      </c>
      <c r="Q39" s="26"/>
      <c r="R39" s="24">
        <v>2234</v>
      </c>
      <c r="S39" s="24">
        <v>2328</v>
      </c>
      <c r="T39" s="24">
        <v>2318</v>
      </c>
      <c r="U39" s="449">
        <v>2447</v>
      </c>
    </row>
    <row r="40" spans="1:247" ht="11.25">
      <c r="A40" s="645" t="s">
        <v>153</v>
      </c>
      <c r="B40" s="646"/>
      <c r="C40" s="447"/>
      <c r="D40" s="27">
        <v>1466</v>
      </c>
      <c r="E40" s="25"/>
      <c r="F40" s="27">
        <v>1466</v>
      </c>
      <c r="G40" s="25"/>
      <c r="H40" s="27">
        <v>1585</v>
      </c>
      <c r="I40" s="24">
        <v>1583</v>
      </c>
      <c r="J40" s="24">
        <v>1554</v>
      </c>
      <c r="K40" s="24">
        <v>1487</v>
      </c>
      <c r="L40" s="25"/>
      <c r="M40" s="27">
        <v>1502</v>
      </c>
      <c r="N40" s="24">
        <v>1474</v>
      </c>
      <c r="O40" s="24">
        <v>1403</v>
      </c>
      <c r="P40" s="24">
        <v>1351</v>
      </c>
      <c r="Q40" s="26"/>
      <c r="R40" s="24">
        <v>1328</v>
      </c>
      <c r="S40" s="24">
        <v>1418</v>
      </c>
      <c r="T40" s="24">
        <v>1357</v>
      </c>
      <c r="U40" s="449">
        <v>1564</v>
      </c>
      <c r="V40" s="439"/>
      <c r="W40" s="439"/>
      <c r="X40" s="439"/>
      <c r="Y40" s="439"/>
      <c r="Z40" s="439"/>
      <c r="AA40" s="439"/>
      <c r="AB40" s="439"/>
      <c r="AC40" s="439"/>
      <c r="AD40" s="439"/>
      <c r="AE40" s="439"/>
      <c r="AF40" s="439"/>
      <c r="AG40" s="439"/>
      <c r="AH40" s="439"/>
      <c r="AI40" s="439"/>
      <c r="AJ40" s="439"/>
      <c r="AK40" s="439"/>
      <c r="AL40" s="439"/>
      <c r="AM40" s="439"/>
      <c r="AN40" s="439"/>
      <c r="AO40" s="439"/>
      <c r="AP40" s="439"/>
      <c r="AQ40" s="439"/>
      <c r="AR40" s="439"/>
      <c r="AS40" s="439"/>
      <c r="AT40" s="439"/>
      <c r="AU40" s="439"/>
      <c r="AV40" s="439"/>
      <c r="AW40" s="439"/>
      <c r="AX40" s="439"/>
      <c r="AY40" s="439"/>
      <c r="AZ40" s="439"/>
      <c r="BA40" s="439"/>
      <c r="BB40" s="439"/>
      <c r="BC40" s="439"/>
      <c r="BD40" s="439"/>
      <c r="BE40" s="439"/>
      <c r="BF40" s="439"/>
      <c r="BG40" s="439"/>
      <c r="BH40" s="439"/>
      <c r="BI40" s="439"/>
      <c r="BJ40" s="439"/>
      <c r="BK40" s="439"/>
      <c r="BL40" s="439"/>
      <c r="BM40" s="439"/>
      <c r="BN40" s="439"/>
      <c r="BO40" s="439"/>
      <c r="BP40" s="439"/>
      <c r="BQ40" s="439"/>
      <c r="BR40" s="439"/>
      <c r="BS40" s="439"/>
      <c r="BT40" s="439"/>
      <c r="BU40" s="439"/>
      <c r="BV40" s="439"/>
      <c r="BW40" s="439"/>
      <c r="BX40" s="439"/>
      <c r="BY40" s="439"/>
      <c r="BZ40" s="439"/>
      <c r="CA40" s="439"/>
      <c r="CB40" s="439"/>
      <c r="CC40" s="439"/>
      <c r="CD40" s="439"/>
      <c r="CE40" s="439"/>
      <c r="CF40" s="439"/>
      <c r="CG40" s="439"/>
      <c r="CH40" s="439"/>
      <c r="CI40" s="439"/>
      <c r="CJ40" s="439"/>
      <c r="CK40" s="439"/>
      <c r="CL40" s="439"/>
      <c r="CM40" s="439"/>
      <c r="CN40" s="439"/>
      <c r="CO40" s="439"/>
      <c r="CP40" s="439"/>
      <c r="CQ40" s="439"/>
      <c r="CR40" s="439"/>
      <c r="CS40" s="439"/>
      <c r="CT40" s="439"/>
      <c r="CU40" s="439"/>
      <c r="CV40" s="439"/>
      <c r="CW40" s="439"/>
      <c r="CX40" s="439"/>
      <c r="CY40" s="439"/>
      <c r="CZ40" s="439"/>
      <c r="DA40" s="439"/>
      <c r="DB40" s="439"/>
      <c r="DC40" s="439"/>
      <c r="DD40" s="439"/>
      <c r="DE40" s="439"/>
      <c r="DF40" s="439"/>
      <c r="DG40" s="439"/>
      <c r="DH40" s="439"/>
      <c r="DI40" s="439"/>
      <c r="DJ40" s="439"/>
      <c r="DK40" s="439"/>
      <c r="DL40" s="440"/>
      <c r="DM40" s="440"/>
      <c r="DN40" s="440"/>
      <c r="DO40" s="440"/>
      <c r="DP40" s="440"/>
      <c r="DQ40" s="440"/>
      <c r="DR40" s="440"/>
      <c r="DS40" s="440"/>
      <c r="DT40" s="440"/>
      <c r="DU40" s="440"/>
      <c r="DV40" s="440"/>
      <c r="DW40" s="440"/>
      <c r="DX40" s="440"/>
      <c r="DY40" s="440"/>
      <c r="DZ40" s="440"/>
      <c r="EA40" s="440"/>
      <c r="EB40" s="440"/>
      <c r="EC40" s="440"/>
      <c r="ED40" s="440"/>
      <c r="EE40" s="440"/>
      <c r="EF40" s="440"/>
      <c r="EG40" s="440"/>
      <c r="EH40" s="440"/>
      <c r="EI40" s="440"/>
      <c r="EJ40" s="440"/>
      <c r="EK40" s="440"/>
      <c r="EL40" s="440"/>
      <c r="EM40" s="440"/>
      <c r="EN40" s="440"/>
      <c r="EO40" s="440"/>
      <c r="EP40" s="440"/>
      <c r="EQ40" s="440"/>
      <c r="ER40" s="440"/>
      <c r="ES40" s="440"/>
      <c r="ET40" s="440"/>
      <c r="EU40" s="440"/>
      <c r="EV40" s="440"/>
      <c r="EW40" s="440"/>
      <c r="EX40" s="440"/>
      <c r="EY40" s="440"/>
      <c r="EZ40" s="440"/>
      <c r="FA40" s="440"/>
      <c r="FB40" s="440"/>
      <c r="FC40" s="440"/>
      <c r="FD40" s="440"/>
      <c r="FE40" s="440"/>
      <c r="FF40" s="440"/>
      <c r="FG40" s="440"/>
      <c r="FH40" s="440"/>
      <c r="FI40" s="440"/>
      <c r="FJ40" s="440"/>
      <c r="FK40" s="440"/>
      <c r="FL40" s="440"/>
      <c r="FM40" s="440"/>
      <c r="FN40" s="440"/>
      <c r="FO40" s="440"/>
      <c r="FP40" s="440"/>
      <c r="FQ40" s="440"/>
      <c r="FR40" s="440"/>
      <c r="FS40" s="440"/>
      <c r="FT40" s="440"/>
      <c r="FU40" s="440"/>
      <c r="FV40" s="440"/>
      <c r="FW40" s="440"/>
      <c r="FX40" s="440"/>
      <c r="FY40" s="440"/>
      <c r="FZ40" s="440"/>
      <c r="GA40" s="440"/>
      <c r="GB40" s="440"/>
      <c r="GC40" s="440"/>
      <c r="GD40" s="440"/>
      <c r="GE40" s="440"/>
      <c r="GF40" s="440"/>
      <c r="GG40" s="440"/>
      <c r="GH40" s="440"/>
      <c r="GI40" s="440"/>
      <c r="GJ40" s="440"/>
      <c r="GK40" s="440"/>
      <c r="GL40" s="440"/>
      <c r="GM40" s="440"/>
      <c r="GN40" s="440"/>
      <c r="GO40" s="440"/>
      <c r="GP40" s="440"/>
      <c r="GQ40" s="440"/>
      <c r="GR40" s="440"/>
      <c r="GS40" s="440"/>
      <c r="GT40" s="440"/>
      <c r="GU40" s="440"/>
      <c r="GV40" s="440"/>
      <c r="GW40" s="440"/>
      <c r="GX40" s="440"/>
      <c r="GY40" s="440"/>
      <c r="GZ40" s="440"/>
      <c r="HA40" s="440"/>
      <c r="HB40" s="440"/>
      <c r="HC40" s="440"/>
      <c r="HD40" s="440"/>
      <c r="HE40" s="440"/>
      <c r="HF40" s="440"/>
      <c r="HG40" s="440"/>
      <c r="HH40" s="440"/>
      <c r="HI40" s="440"/>
      <c r="HJ40" s="440"/>
      <c r="HK40" s="440"/>
      <c r="HL40" s="440"/>
      <c r="HM40" s="440"/>
      <c r="HN40" s="440"/>
      <c r="HO40" s="440"/>
      <c r="HP40" s="440"/>
      <c r="HQ40" s="440"/>
      <c r="HR40" s="440"/>
      <c r="HS40" s="440"/>
      <c r="HT40" s="440"/>
      <c r="HU40" s="440"/>
      <c r="HV40" s="440"/>
      <c r="HW40" s="440"/>
      <c r="HX40" s="440"/>
      <c r="HY40" s="440"/>
      <c r="HZ40" s="440"/>
      <c r="IA40" s="440"/>
      <c r="IB40" s="440"/>
      <c r="IC40" s="440"/>
      <c r="ID40" s="440"/>
      <c r="IE40" s="440"/>
      <c r="IF40" s="440"/>
      <c r="IG40" s="440"/>
      <c r="IH40" s="440"/>
      <c r="II40" s="440"/>
      <c r="IJ40" s="440"/>
      <c r="IK40" s="440"/>
      <c r="IL40" s="440"/>
      <c r="IM40" s="440"/>
    </row>
    <row r="41" spans="1:21" ht="11.25">
      <c r="A41" s="643" t="s">
        <v>154</v>
      </c>
      <c r="B41" s="644"/>
      <c r="D41" s="27">
        <v>1676</v>
      </c>
      <c r="E41" s="25"/>
      <c r="F41" s="27">
        <v>714</v>
      </c>
      <c r="G41" s="25"/>
      <c r="H41" s="27">
        <v>689</v>
      </c>
      <c r="I41" s="24">
        <v>692</v>
      </c>
      <c r="J41" s="24">
        <v>679</v>
      </c>
      <c r="K41" s="24">
        <v>563</v>
      </c>
      <c r="L41" s="25"/>
      <c r="M41" s="27">
        <v>516</v>
      </c>
      <c r="N41" s="24">
        <v>540</v>
      </c>
      <c r="O41" s="24">
        <v>568</v>
      </c>
      <c r="P41" s="24">
        <v>347</v>
      </c>
      <c r="Q41" s="26"/>
      <c r="R41" s="24">
        <v>431</v>
      </c>
      <c r="S41" s="24">
        <v>495</v>
      </c>
      <c r="T41" s="24">
        <v>447</v>
      </c>
      <c r="U41" s="446">
        <v>498</v>
      </c>
    </row>
    <row r="42" spans="1:247" ht="11.25">
      <c r="A42" s="645" t="s">
        <v>155</v>
      </c>
      <c r="B42" s="646"/>
      <c r="C42" s="447"/>
      <c r="D42" s="27">
        <v>1019</v>
      </c>
      <c r="E42" s="25"/>
      <c r="F42" s="27">
        <v>965</v>
      </c>
      <c r="G42" s="25"/>
      <c r="H42" s="27">
        <v>919</v>
      </c>
      <c r="I42" s="24">
        <v>953</v>
      </c>
      <c r="J42" s="24">
        <v>910</v>
      </c>
      <c r="K42" s="24">
        <v>960</v>
      </c>
      <c r="L42" s="25"/>
      <c r="M42" s="27">
        <v>906</v>
      </c>
      <c r="N42" s="24">
        <v>787</v>
      </c>
      <c r="O42" s="24">
        <v>761</v>
      </c>
      <c r="P42" s="24">
        <v>718</v>
      </c>
      <c r="Q42" s="26"/>
      <c r="R42" s="24">
        <v>617</v>
      </c>
      <c r="S42" s="24">
        <v>605</v>
      </c>
      <c r="T42" s="24">
        <v>610</v>
      </c>
      <c r="U42" s="451">
        <v>598</v>
      </c>
      <c r="V42" s="439"/>
      <c r="W42" s="439"/>
      <c r="X42" s="439"/>
      <c r="Y42" s="439"/>
      <c r="Z42" s="439"/>
      <c r="AA42" s="439"/>
      <c r="AB42" s="439"/>
      <c r="AC42" s="439"/>
      <c r="AD42" s="439"/>
      <c r="AE42" s="439"/>
      <c r="AF42" s="439"/>
      <c r="AG42" s="439"/>
      <c r="AH42" s="439"/>
      <c r="AI42" s="439"/>
      <c r="AJ42" s="439"/>
      <c r="AK42" s="439"/>
      <c r="AL42" s="439"/>
      <c r="AM42" s="439"/>
      <c r="AN42" s="439"/>
      <c r="AO42" s="439"/>
      <c r="AP42" s="439"/>
      <c r="AQ42" s="439"/>
      <c r="AR42" s="439"/>
      <c r="AS42" s="439"/>
      <c r="AT42" s="439"/>
      <c r="AU42" s="439"/>
      <c r="AV42" s="439"/>
      <c r="AW42" s="439"/>
      <c r="AX42" s="439"/>
      <c r="AY42" s="439"/>
      <c r="AZ42" s="439"/>
      <c r="BA42" s="439"/>
      <c r="BB42" s="439"/>
      <c r="BC42" s="439"/>
      <c r="BD42" s="439"/>
      <c r="BE42" s="439"/>
      <c r="BF42" s="439"/>
      <c r="BG42" s="439"/>
      <c r="BH42" s="439"/>
      <c r="BI42" s="439"/>
      <c r="BJ42" s="439"/>
      <c r="BK42" s="439"/>
      <c r="BL42" s="439"/>
      <c r="BM42" s="439"/>
      <c r="BN42" s="439"/>
      <c r="BO42" s="439"/>
      <c r="BP42" s="439"/>
      <c r="BQ42" s="439"/>
      <c r="BR42" s="439"/>
      <c r="BS42" s="439"/>
      <c r="BT42" s="439"/>
      <c r="BU42" s="439"/>
      <c r="BV42" s="439"/>
      <c r="BW42" s="439"/>
      <c r="BX42" s="439"/>
      <c r="BY42" s="439"/>
      <c r="BZ42" s="439"/>
      <c r="CA42" s="439"/>
      <c r="CB42" s="439"/>
      <c r="CC42" s="439"/>
      <c r="CD42" s="439"/>
      <c r="CE42" s="439"/>
      <c r="CF42" s="439"/>
      <c r="CG42" s="439"/>
      <c r="CH42" s="439"/>
      <c r="CI42" s="439"/>
      <c r="CJ42" s="439"/>
      <c r="CK42" s="439"/>
      <c r="CL42" s="439"/>
      <c r="CM42" s="439"/>
      <c r="CN42" s="439"/>
      <c r="CO42" s="439"/>
      <c r="CP42" s="439"/>
      <c r="CQ42" s="439"/>
      <c r="CR42" s="439"/>
      <c r="CS42" s="439"/>
      <c r="CT42" s="439"/>
      <c r="CU42" s="439"/>
      <c r="CV42" s="439"/>
      <c r="CW42" s="439"/>
      <c r="CX42" s="439"/>
      <c r="CY42" s="439"/>
      <c r="CZ42" s="439"/>
      <c r="DA42" s="439"/>
      <c r="DB42" s="439"/>
      <c r="DC42" s="439"/>
      <c r="DD42" s="439"/>
      <c r="DE42" s="439"/>
      <c r="DF42" s="439"/>
      <c r="DG42" s="439"/>
      <c r="DH42" s="439"/>
      <c r="DI42" s="439"/>
      <c r="DJ42" s="439"/>
      <c r="DK42" s="439"/>
      <c r="DL42" s="440"/>
      <c r="DM42" s="440"/>
      <c r="DN42" s="440"/>
      <c r="DO42" s="440"/>
      <c r="DP42" s="440"/>
      <c r="DQ42" s="440"/>
      <c r="DR42" s="440"/>
      <c r="DS42" s="440"/>
      <c r="DT42" s="440"/>
      <c r="DU42" s="440"/>
      <c r="DV42" s="440"/>
      <c r="DW42" s="440"/>
      <c r="DX42" s="440"/>
      <c r="DY42" s="440"/>
      <c r="DZ42" s="440"/>
      <c r="EA42" s="440"/>
      <c r="EB42" s="440"/>
      <c r="EC42" s="440"/>
      <c r="ED42" s="440"/>
      <c r="EE42" s="440"/>
      <c r="EF42" s="440"/>
      <c r="EG42" s="440"/>
      <c r="EH42" s="440"/>
      <c r="EI42" s="440"/>
      <c r="EJ42" s="440"/>
      <c r="EK42" s="440"/>
      <c r="EL42" s="440"/>
      <c r="EM42" s="440"/>
      <c r="EN42" s="440"/>
      <c r="EO42" s="440"/>
      <c r="EP42" s="440"/>
      <c r="EQ42" s="440"/>
      <c r="ER42" s="440"/>
      <c r="ES42" s="440"/>
      <c r="ET42" s="440"/>
      <c r="EU42" s="440"/>
      <c r="EV42" s="440"/>
      <c r="EW42" s="440"/>
      <c r="EX42" s="440"/>
      <c r="EY42" s="440"/>
      <c r="EZ42" s="440"/>
      <c r="FA42" s="440"/>
      <c r="FB42" s="440"/>
      <c r="FC42" s="440"/>
      <c r="FD42" s="440"/>
      <c r="FE42" s="440"/>
      <c r="FF42" s="440"/>
      <c r="FG42" s="440"/>
      <c r="FH42" s="440"/>
      <c r="FI42" s="440"/>
      <c r="FJ42" s="440"/>
      <c r="FK42" s="440"/>
      <c r="FL42" s="440"/>
      <c r="FM42" s="440"/>
      <c r="FN42" s="440"/>
      <c r="FO42" s="440"/>
      <c r="FP42" s="440"/>
      <c r="FQ42" s="440"/>
      <c r="FR42" s="440"/>
      <c r="FS42" s="440"/>
      <c r="FT42" s="440"/>
      <c r="FU42" s="440"/>
      <c r="FV42" s="440"/>
      <c r="FW42" s="440"/>
      <c r="FX42" s="440"/>
      <c r="FY42" s="440"/>
      <c r="FZ42" s="440"/>
      <c r="GA42" s="440"/>
      <c r="GB42" s="440"/>
      <c r="GC42" s="440"/>
      <c r="GD42" s="440"/>
      <c r="GE42" s="440"/>
      <c r="GF42" s="440"/>
      <c r="GG42" s="440"/>
      <c r="GH42" s="440"/>
      <c r="GI42" s="440"/>
      <c r="GJ42" s="440"/>
      <c r="GK42" s="440"/>
      <c r="GL42" s="440"/>
      <c r="GM42" s="440"/>
      <c r="GN42" s="440"/>
      <c r="GO42" s="440"/>
      <c r="GP42" s="440"/>
      <c r="GQ42" s="440"/>
      <c r="GR42" s="440"/>
      <c r="GS42" s="440"/>
      <c r="GT42" s="440"/>
      <c r="GU42" s="440"/>
      <c r="GV42" s="440"/>
      <c r="GW42" s="440"/>
      <c r="GX42" s="440"/>
      <c r="GY42" s="440"/>
      <c r="GZ42" s="440"/>
      <c r="HA42" s="440"/>
      <c r="HB42" s="440"/>
      <c r="HC42" s="440"/>
      <c r="HD42" s="440"/>
      <c r="HE42" s="440"/>
      <c r="HF42" s="440"/>
      <c r="HG42" s="440"/>
      <c r="HH42" s="440"/>
      <c r="HI42" s="440"/>
      <c r="HJ42" s="440"/>
      <c r="HK42" s="440"/>
      <c r="HL42" s="440"/>
      <c r="HM42" s="440"/>
      <c r="HN42" s="440"/>
      <c r="HO42" s="440"/>
      <c r="HP42" s="440"/>
      <c r="HQ42" s="440"/>
      <c r="HR42" s="440"/>
      <c r="HS42" s="440"/>
      <c r="HT42" s="440"/>
      <c r="HU42" s="440"/>
      <c r="HV42" s="440"/>
      <c r="HW42" s="440"/>
      <c r="HX42" s="440"/>
      <c r="HY42" s="440"/>
      <c r="HZ42" s="440"/>
      <c r="IA42" s="440"/>
      <c r="IB42" s="440"/>
      <c r="IC42" s="440"/>
      <c r="ID42" s="440"/>
      <c r="IE42" s="440"/>
      <c r="IF42" s="440"/>
      <c r="IG42" s="440"/>
      <c r="IH42" s="440"/>
      <c r="II42" s="440"/>
      <c r="IJ42" s="440"/>
      <c r="IK42" s="440"/>
      <c r="IL42" s="440"/>
      <c r="IM42" s="440"/>
    </row>
    <row r="43" spans="1:21" ht="11.25" customHeight="1">
      <c r="A43" s="657" t="s">
        <v>156</v>
      </c>
      <c r="B43" s="657"/>
      <c r="D43" s="27">
        <v>9292</v>
      </c>
      <c r="E43" s="25"/>
      <c r="F43" s="27">
        <f>+F37+F38+F41+F39+F42+F40</f>
        <v>10153</v>
      </c>
      <c r="G43" s="25"/>
      <c r="H43" s="27">
        <f>+H37+H38+H41+H39+H42+H40</f>
        <v>9792</v>
      </c>
      <c r="I43" s="24">
        <f>+I37+I38+I41+I39+I42+I40</f>
        <v>11326</v>
      </c>
      <c r="J43" s="24">
        <f>+J37+J38+J41+J39+J42+J40</f>
        <v>11749</v>
      </c>
      <c r="K43" s="24">
        <f>+K37+K38+K41+K39+K42+K40</f>
        <v>11665</v>
      </c>
      <c r="L43" s="25"/>
      <c r="M43" s="27">
        <f aca="true" t="shared" si="2" ref="M43:T43">+M37+M38+M41+M39+M42+M40</f>
        <v>10725</v>
      </c>
      <c r="N43" s="24">
        <f t="shared" si="2"/>
        <v>10483</v>
      </c>
      <c r="O43" s="24">
        <f t="shared" si="2"/>
        <v>10754</v>
      </c>
      <c r="P43" s="24">
        <f t="shared" si="2"/>
        <v>10878</v>
      </c>
      <c r="Q43" s="26"/>
      <c r="R43" s="24">
        <f t="shared" si="2"/>
        <v>10774</v>
      </c>
      <c r="S43" s="24">
        <f t="shared" si="2"/>
        <v>12522</v>
      </c>
      <c r="T43" s="24">
        <f t="shared" si="2"/>
        <v>12049</v>
      </c>
      <c r="U43" s="451">
        <f>U37+U38+U39+U40+U41+U42</f>
        <v>12147</v>
      </c>
    </row>
    <row r="44" spans="1:21" ht="11.25">
      <c r="A44" s="643" t="s">
        <v>157</v>
      </c>
      <c r="B44" s="644"/>
      <c r="D44" s="27">
        <v>1813</v>
      </c>
      <c r="E44" s="25"/>
      <c r="F44" s="27">
        <v>2145</v>
      </c>
      <c r="G44" s="25"/>
      <c r="H44" s="27">
        <v>3006</v>
      </c>
      <c r="I44" s="24">
        <v>2295</v>
      </c>
      <c r="J44" s="24">
        <v>1460</v>
      </c>
      <c r="K44" s="24">
        <v>1559</v>
      </c>
      <c r="L44" s="25"/>
      <c r="M44" s="27">
        <v>2087</v>
      </c>
      <c r="N44" s="24">
        <v>1641</v>
      </c>
      <c r="O44" s="24">
        <v>1435</v>
      </c>
      <c r="P44" s="24">
        <v>965</v>
      </c>
      <c r="Q44" s="26"/>
      <c r="R44" s="24">
        <v>1673</v>
      </c>
      <c r="S44" s="24">
        <v>1151</v>
      </c>
      <c r="T44" s="24">
        <v>1087</v>
      </c>
      <c r="U44" s="450">
        <v>1071</v>
      </c>
    </row>
    <row r="45" spans="1:21" ht="11.25">
      <c r="A45" s="643" t="s">
        <v>129</v>
      </c>
      <c r="B45" s="644"/>
      <c r="D45" s="27">
        <v>37</v>
      </c>
      <c r="E45" s="25"/>
      <c r="F45" s="27">
        <v>48</v>
      </c>
      <c r="G45" s="25"/>
      <c r="H45" s="27">
        <v>34</v>
      </c>
      <c r="I45" s="24">
        <v>86</v>
      </c>
      <c r="J45" s="24">
        <v>59</v>
      </c>
      <c r="K45" s="24">
        <v>215</v>
      </c>
      <c r="L45" s="25"/>
      <c r="M45" s="27">
        <v>73</v>
      </c>
      <c r="N45" s="24">
        <v>35</v>
      </c>
      <c r="O45" s="24">
        <v>51</v>
      </c>
      <c r="P45" s="24">
        <v>110</v>
      </c>
      <c r="Q45" s="26"/>
      <c r="R45" s="24">
        <v>75</v>
      </c>
      <c r="S45" s="24">
        <v>51</v>
      </c>
      <c r="T45" s="24">
        <v>45</v>
      </c>
      <c r="U45" s="449">
        <v>43</v>
      </c>
    </row>
    <row r="46" spans="1:247" ht="11.25">
      <c r="A46" s="645" t="s">
        <v>158</v>
      </c>
      <c r="B46" s="646"/>
      <c r="C46" s="447"/>
      <c r="D46" s="27">
        <v>1209</v>
      </c>
      <c r="E46" s="25"/>
      <c r="F46" s="27">
        <v>1418</v>
      </c>
      <c r="G46" s="25"/>
      <c r="H46" s="27">
        <v>1265</v>
      </c>
      <c r="I46" s="24">
        <v>1199</v>
      </c>
      <c r="J46" s="24">
        <v>1234</v>
      </c>
      <c r="K46" s="24">
        <v>1433</v>
      </c>
      <c r="L46" s="25"/>
      <c r="M46" s="27">
        <v>1354</v>
      </c>
      <c r="N46" s="24">
        <v>1613</v>
      </c>
      <c r="O46" s="24">
        <v>1587</v>
      </c>
      <c r="P46" s="24">
        <v>1823</v>
      </c>
      <c r="Q46" s="26"/>
      <c r="R46" s="24">
        <v>1476</v>
      </c>
      <c r="S46" s="24">
        <v>1394</v>
      </c>
      <c r="T46" s="24">
        <v>1657</v>
      </c>
      <c r="U46" s="446">
        <v>2053</v>
      </c>
      <c r="V46" s="439"/>
      <c r="W46" s="439"/>
      <c r="X46" s="439"/>
      <c r="Y46" s="439"/>
      <c r="Z46" s="439"/>
      <c r="AA46" s="439"/>
      <c r="AB46" s="439"/>
      <c r="AC46" s="439"/>
      <c r="AD46" s="439"/>
      <c r="AE46" s="439"/>
      <c r="AF46" s="439"/>
      <c r="AG46" s="439"/>
      <c r="AH46" s="439"/>
      <c r="AI46" s="439"/>
      <c r="AJ46" s="439"/>
      <c r="AK46" s="439"/>
      <c r="AL46" s="439"/>
      <c r="AM46" s="439"/>
      <c r="AN46" s="439"/>
      <c r="AO46" s="439"/>
      <c r="AP46" s="439"/>
      <c r="AQ46" s="439"/>
      <c r="AR46" s="439"/>
      <c r="AS46" s="439"/>
      <c r="AT46" s="439"/>
      <c r="AU46" s="439"/>
      <c r="AV46" s="439"/>
      <c r="AW46" s="439"/>
      <c r="AX46" s="439"/>
      <c r="AY46" s="439"/>
      <c r="AZ46" s="439"/>
      <c r="BA46" s="439"/>
      <c r="BB46" s="439"/>
      <c r="BC46" s="439"/>
      <c r="BD46" s="439"/>
      <c r="BE46" s="439"/>
      <c r="BF46" s="439"/>
      <c r="BG46" s="439"/>
      <c r="BH46" s="439"/>
      <c r="BI46" s="439"/>
      <c r="BJ46" s="439"/>
      <c r="BK46" s="439"/>
      <c r="BL46" s="439"/>
      <c r="BM46" s="439"/>
      <c r="BN46" s="439"/>
      <c r="BO46" s="439"/>
      <c r="BP46" s="439"/>
      <c r="BQ46" s="439"/>
      <c r="BR46" s="439"/>
      <c r="BS46" s="439"/>
      <c r="BT46" s="439"/>
      <c r="BU46" s="439"/>
      <c r="BV46" s="439"/>
      <c r="BW46" s="439"/>
      <c r="BX46" s="439"/>
      <c r="BY46" s="439"/>
      <c r="BZ46" s="439"/>
      <c r="CA46" s="439"/>
      <c r="CB46" s="439"/>
      <c r="CC46" s="439"/>
      <c r="CD46" s="439"/>
      <c r="CE46" s="439"/>
      <c r="CF46" s="439"/>
      <c r="CG46" s="439"/>
      <c r="CH46" s="439"/>
      <c r="CI46" s="439"/>
      <c r="CJ46" s="439"/>
      <c r="CK46" s="439"/>
      <c r="CL46" s="439"/>
      <c r="CM46" s="439"/>
      <c r="CN46" s="439"/>
      <c r="CO46" s="439"/>
      <c r="CP46" s="439"/>
      <c r="CQ46" s="439"/>
      <c r="CR46" s="439"/>
      <c r="CS46" s="439"/>
      <c r="CT46" s="439"/>
      <c r="CU46" s="439"/>
      <c r="CV46" s="439"/>
      <c r="CW46" s="439"/>
      <c r="CX46" s="439"/>
      <c r="CY46" s="439"/>
      <c r="CZ46" s="439"/>
      <c r="DA46" s="439"/>
      <c r="DB46" s="439"/>
      <c r="DC46" s="439"/>
      <c r="DD46" s="439"/>
      <c r="DE46" s="439"/>
      <c r="DF46" s="439"/>
      <c r="DG46" s="439"/>
      <c r="DH46" s="439"/>
      <c r="DI46" s="439"/>
      <c r="DJ46" s="439"/>
      <c r="DK46" s="439"/>
      <c r="DL46" s="440"/>
      <c r="DM46" s="440"/>
      <c r="DN46" s="440"/>
      <c r="DO46" s="440"/>
      <c r="DP46" s="440"/>
      <c r="DQ46" s="440"/>
      <c r="DR46" s="440"/>
      <c r="DS46" s="440"/>
      <c r="DT46" s="440"/>
      <c r="DU46" s="440"/>
      <c r="DV46" s="440"/>
      <c r="DW46" s="440"/>
      <c r="DX46" s="440"/>
      <c r="DY46" s="440"/>
      <c r="DZ46" s="440"/>
      <c r="EA46" s="440"/>
      <c r="EB46" s="440"/>
      <c r="EC46" s="440"/>
      <c r="ED46" s="440"/>
      <c r="EE46" s="440"/>
      <c r="EF46" s="440"/>
      <c r="EG46" s="440"/>
      <c r="EH46" s="440"/>
      <c r="EI46" s="440"/>
      <c r="EJ46" s="440"/>
      <c r="EK46" s="440"/>
      <c r="EL46" s="440"/>
      <c r="EM46" s="440"/>
      <c r="EN46" s="440"/>
      <c r="EO46" s="440"/>
      <c r="EP46" s="440"/>
      <c r="EQ46" s="440"/>
      <c r="ER46" s="440"/>
      <c r="ES46" s="440"/>
      <c r="ET46" s="440"/>
      <c r="EU46" s="440"/>
      <c r="EV46" s="440"/>
      <c r="EW46" s="440"/>
      <c r="EX46" s="440"/>
      <c r="EY46" s="440"/>
      <c r="EZ46" s="440"/>
      <c r="FA46" s="440"/>
      <c r="FB46" s="440"/>
      <c r="FC46" s="440"/>
      <c r="FD46" s="440"/>
      <c r="FE46" s="440"/>
      <c r="FF46" s="440"/>
      <c r="FG46" s="440"/>
      <c r="FH46" s="440"/>
      <c r="FI46" s="440"/>
      <c r="FJ46" s="440"/>
      <c r="FK46" s="440"/>
      <c r="FL46" s="440"/>
      <c r="FM46" s="440"/>
      <c r="FN46" s="440"/>
      <c r="FO46" s="440"/>
      <c r="FP46" s="440"/>
      <c r="FQ46" s="440"/>
      <c r="FR46" s="440"/>
      <c r="FS46" s="440"/>
      <c r="FT46" s="440"/>
      <c r="FU46" s="440"/>
      <c r="FV46" s="440"/>
      <c r="FW46" s="440"/>
      <c r="FX46" s="440"/>
      <c r="FY46" s="440"/>
      <c r="FZ46" s="440"/>
      <c r="GA46" s="440"/>
      <c r="GB46" s="440"/>
      <c r="GC46" s="440"/>
      <c r="GD46" s="440"/>
      <c r="GE46" s="440"/>
      <c r="GF46" s="440"/>
      <c r="GG46" s="440"/>
      <c r="GH46" s="440"/>
      <c r="GI46" s="440"/>
      <c r="GJ46" s="440"/>
      <c r="GK46" s="440"/>
      <c r="GL46" s="440"/>
      <c r="GM46" s="440"/>
      <c r="GN46" s="440"/>
      <c r="GO46" s="440"/>
      <c r="GP46" s="440"/>
      <c r="GQ46" s="440"/>
      <c r="GR46" s="440"/>
      <c r="GS46" s="440"/>
      <c r="GT46" s="440"/>
      <c r="GU46" s="440"/>
      <c r="GV46" s="440"/>
      <c r="GW46" s="440"/>
      <c r="GX46" s="440"/>
      <c r="GY46" s="440"/>
      <c r="GZ46" s="440"/>
      <c r="HA46" s="440"/>
      <c r="HB46" s="440"/>
      <c r="HC46" s="440"/>
      <c r="HD46" s="440"/>
      <c r="HE46" s="440"/>
      <c r="HF46" s="440"/>
      <c r="HG46" s="440"/>
      <c r="HH46" s="440"/>
      <c r="HI46" s="440"/>
      <c r="HJ46" s="440"/>
      <c r="HK46" s="440"/>
      <c r="HL46" s="440"/>
      <c r="HM46" s="440"/>
      <c r="HN46" s="440"/>
      <c r="HO46" s="440"/>
      <c r="HP46" s="440"/>
      <c r="HQ46" s="440"/>
      <c r="HR46" s="440"/>
      <c r="HS46" s="440"/>
      <c r="HT46" s="440"/>
      <c r="HU46" s="440"/>
      <c r="HV46" s="440"/>
      <c r="HW46" s="440"/>
      <c r="HX46" s="440"/>
      <c r="HY46" s="440"/>
      <c r="HZ46" s="440"/>
      <c r="IA46" s="440"/>
      <c r="IB46" s="440"/>
      <c r="IC46" s="440"/>
      <c r="ID46" s="440"/>
      <c r="IE46" s="440"/>
      <c r="IF46" s="440"/>
      <c r="IG46" s="440"/>
      <c r="IH46" s="440"/>
      <c r="II46" s="440"/>
      <c r="IJ46" s="440"/>
      <c r="IK46" s="440"/>
      <c r="IL46" s="440"/>
      <c r="IM46" s="440"/>
    </row>
    <row r="47" spans="1:247" ht="11.25">
      <c r="A47" s="645" t="s">
        <v>152</v>
      </c>
      <c r="B47" s="646"/>
      <c r="C47" s="447"/>
      <c r="D47" s="27">
        <v>765</v>
      </c>
      <c r="E47" s="25"/>
      <c r="F47" s="27">
        <v>760</v>
      </c>
      <c r="G47" s="25"/>
      <c r="H47" s="27">
        <v>817</v>
      </c>
      <c r="I47" s="24">
        <v>952</v>
      </c>
      <c r="J47" s="24">
        <v>761</v>
      </c>
      <c r="K47" s="24">
        <v>787</v>
      </c>
      <c r="L47" s="25"/>
      <c r="M47" s="27">
        <v>917</v>
      </c>
      <c r="N47" s="24">
        <v>754</v>
      </c>
      <c r="O47" s="24">
        <v>865</v>
      </c>
      <c r="P47" s="24">
        <v>842</v>
      </c>
      <c r="Q47" s="26"/>
      <c r="R47" s="24">
        <v>1110</v>
      </c>
      <c r="S47" s="24">
        <v>820</v>
      </c>
      <c r="T47" s="24">
        <v>932</v>
      </c>
      <c r="U47" s="450">
        <v>808</v>
      </c>
      <c r="V47" s="439"/>
      <c r="W47" s="439"/>
      <c r="X47" s="439"/>
      <c r="Y47" s="439"/>
      <c r="Z47" s="439"/>
      <c r="AA47" s="439"/>
      <c r="AB47" s="439"/>
      <c r="AC47" s="439"/>
      <c r="AD47" s="439"/>
      <c r="AE47" s="439"/>
      <c r="AF47" s="439"/>
      <c r="AG47" s="439"/>
      <c r="AH47" s="439"/>
      <c r="AI47" s="439"/>
      <c r="AJ47" s="439"/>
      <c r="AK47" s="439"/>
      <c r="AL47" s="439"/>
      <c r="AM47" s="439"/>
      <c r="AN47" s="439"/>
      <c r="AO47" s="439"/>
      <c r="AP47" s="439"/>
      <c r="AQ47" s="439"/>
      <c r="AR47" s="439"/>
      <c r="AS47" s="439"/>
      <c r="AT47" s="439"/>
      <c r="AU47" s="439"/>
      <c r="AV47" s="439"/>
      <c r="AW47" s="439"/>
      <c r="AX47" s="439"/>
      <c r="AY47" s="439"/>
      <c r="AZ47" s="439"/>
      <c r="BA47" s="439"/>
      <c r="BB47" s="439"/>
      <c r="BC47" s="439"/>
      <c r="BD47" s="439"/>
      <c r="BE47" s="439"/>
      <c r="BF47" s="439"/>
      <c r="BG47" s="439"/>
      <c r="BH47" s="439"/>
      <c r="BI47" s="439"/>
      <c r="BJ47" s="439"/>
      <c r="BK47" s="439"/>
      <c r="BL47" s="439"/>
      <c r="BM47" s="439"/>
      <c r="BN47" s="439"/>
      <c r="BO47" s="439"/>
      <c r="BP47" s="439"/>
      <c r="BQ47" s="439"/>
      <c r="BR47" s="439"/>
      <c r="BS47" s="439"/>
      <c r="BT47" s="439"/>
      <c r="BU47" s="439"/>
      <c r="BV47" s="439"/>
      <c r="BW47" s="439"/>
      <c r="BX47" s="439"/>
      <c r="BY47" s="439"/>
      <c r="BZ47" s="439"/>
      <c r="CA47" s="439"/>
      <c r="CB47" s="439"/>
      <c r="CC47" s="439"/>
      <c r="CD47" s="439"/>
      <c r="CE47" s="439"/>
      <c r="CF47" s="439"/>
      <c r="CG47" s="439"/>
      <c r="CH47" s="439"/>
      <c r="CI47" s="439"/>
      <c r="CJ47" s="439"/>
      <c r="CK47" s="439"/>
      <c r="CL47" s="439"/>
      <c r="CM47" s="439"/>
      <c r="CN47" s="439"/>
      <c r="CO47" s="439"/>
      <c r="CP47" s="439"/>
      <c r="CQ47" s="439"/>
      <c r="CR47" s="439"/>
      <c r="CS47" s="439"/>
      <c r="CT47" s="439"/>
      <c r="CU47" s="439"/>
      <c r="CV47" s="439"/>
      <c r="CW47" s="439"/>
      <c r="CX47" s="439"/>
      <c r="CY47" s="439"/>
      <c r="CZ47" s="439"/>
      <c r="DA47" s="439"/>
      <c r="DB47" s="439"/>
      <c r="DC47" s="439"/>
      <c r="DD47" s="439"/>
      <c r="DE47" s="439"/>
      <c r="DF47" s="439"/>
      <c r="DG47" s="439"/>
      <c r="DH47" s="439"/>
      <c r="DI47" s="439"/>
      <c r="DJ47" s="439"/>
      <c r="DK47" s="439"/>
      <c r="DL47" s="440"/>
      <c r="DM47" s="440"/>
      <c r="DN47" s="440"/>
      <c r="DO47" s="440"/>
      <c r="DP47" s="440"/>
      <c r="DQ47" s="440"/>
      <c r="DR47" s="440"/>
      <c r="DS47" s="440"/>
      <c r="DT47" s="440"/>
      <c r="DU47" s="440"/>
      <c r="DV47" s="440"/>
      <c r="DW47" s="440"/>
      <c r="DX47" s="440"/>
      <c r="DY47" s="440"/>
      <c r="DZ47" s="440"/>
      <c r="EA47" s="440"/>
      <c r="EB47" s="440"/>
      <c r="EC47" s="440"/>
      <c r="ED47" s="440"/>
      <c r="EE47" s="440"/>
      <c r="EF47" s="440"/>
      <c r="EG47" s="440"/>
      <c r="EH47" s="440"/>
      <c r="EI47" s="440"/>
      <c r="EJ47" s="440"/>
      <c r="EK47" s="440"/>
      <c r="EL47" s="440"/>
      <c r="EM47" s="440"/>
      <c r="EN47" s="440"/>
      <c r="EO47" s="440"/>
      <c r="EP47" s="440"/>
      <c r="EQ47" s="440"/>
      <c r="ER47" s="440"/>
      <c r="ES47" s="440"/>
      <c r="ET47" s="440"/>
      <c r="EU47" s="440"/>
      <c r="EV47" s="440"/>
      <c r="EW47" s="440"/>
      <c r="EX47" s="440"/>
      <c r="EY47" s="440"/>
      <c r="EZ47" s="440"/>
      <c r="FA47" s="440"/>
      <c r="FB47" s="440"/>
      <c r="FC47" s="440"/>
      <c r="FD47" s="440"/>
      <c r="FE47" s="440"/>
      <c r="FF47" s="440"/>
      <c r="FG47" s="440"/>
      <c r="FH47" s="440"/>
      <c r="FI47" s="440"/>
      <c r="FJ47" s="440"/>
      <c r="FK47" s="440"/>
      <c r="FL47" s="440"/>
      <c r="FM47" s="440"/>
      <c r="FN47" s="440"/>
      <c r="FO47" s="440"/>
      <c r="FP47" s="440"/>
      <c r="FQ47" s="440"/>
      <c r="FR47" s="440"/>
      <c r="FS47" s="440"/>
      <c r="FT47" s="440"/>
      <c r="FU47" s="440"/>
      <c r="FV47" s="440"/>
      <c r="FW47" s="440"/>
      <c r="FX47" s="440"/>
      <c r="FY47" s="440"/>
      <c r="FZ47" s="440"/>
      <c r="GA47" s="440"/>
      <c r="GB47" s="440"/>
      <c r="GC47" s="440"/>
      <c r="GD47" s="440"/>
      <c r="GE47" s="440"/>
      <c r="GF47" s="440"/>
      <c r="GG47" s="440"/>
      <c r="GH47" s="440"/>
      <c r="GI47" s="440"/>
      <c r="GJ47" s="440"/>
      <c r="GK47" s="440"/>
      <c r="GL47" s="440"/>
      <c r="GM47" s="440"/>
      <c r="GN47" s="440"/>
      <c r="GO47" s="440"/>
      <c r="GP47" s="440"/>
      <c r="GQ47" s="440"/>
      <c r="GR47" s="440"/>
      <c r="GS47" s="440"/>
      <c r="GT47" s="440"/>
      <c r="GU47" s="440"/>
      <c r="GV47" s="440"/>
      <c r="GW47" s="440"/>
      <c r="GX47" s="440"/>
      <c r="GY47" s="440"/>
      <c r="GZ47" s="440"/>
      <c r="HA47" s="440"/>
      <c r="HB47" s="440"/>
      <c r="HC47" s="440"/>
      <c r="HD47" s="440"/>
      <c r="HE47" s="440"/>
      <c r="HF47" s="440"/>
      <c r="HG47" s="440"/>
      <c r="HH47" s="440"/>
      <c r="HI47" s="440"/>
      <c r="HJ47" s="440"/>
      <c r="HK47" s="440"/>
      <c r="HL47" s="440"/>
      <c r="HM47" s="440"/>
      <c r="HN47" s="440"/>
      <c r="HO47" s="440"/>
      <c r="HP47" s="440"/>
      <c r="HQ47" s="440"/>
      <c r="HR47" s="440"/>
      <c r="HS47" s="440"/>
      <c r="HT47" s="440"/>
      <c r="HU47" s="440"/>
      <c r="HV47" s="440"/>
      <c r="HW47" s="440"/>
      <c r="HX47" s="440"/>
      <c r="HY47" s="440"/>
      <c r="HZ47" s="440"/>
      <c r="IA47" s="440"/>
      <c r="IB47" s="440"/>
      <c r="IC47" s="440"/>
      <c r="ID47" s="440"/>
      <c r="IE47" s="440"/>
      <c r="IF47" s="440"/>
      <c r="IG47" s="440"/>
      <c r="IH47" s="440"/>
      <c r="II47" s="440"/>
      <c r="IJ47" s="440"/>
      <c r="IK47" s="440"/>
      <c r="IL47" s="440"/>
      <c r="IM47" s="440"/>
    </row>
    <row r="48" spans="1:247" ht="11.25">
      <c r="A48" s="645" t="s">
        <v>159</v>
      </c>
      <c r="B48" s="646"/>
      <c r="C48" s="447"/>
      <c r="D48" s="27">
        <v>751</v>
      </c>
      <c r="E48" s="25"/>
      <c r="F48" s="27">
        <v>762</v>
      </c>
      <c r="G48" s="25"/>
      <c r="H48" s="27">
        <v>626</v>
      </c>
      <c r="I48" s="24">
        <v>837</v>
      </c>
      <c r="J48" s="24">
        <v>719</v>
      </c>
      <c r="K48" s="24">
        <v>786</v>
      </c>
      <c r="L48" s="25"/>
      <c r="M48" s="27">
        <v>595</v>
      </c>
      <c r="N48" s="24">
        <v>605</v>
      </c>
      <c r="O48" s="24">
        <v>457</v>
      </c>
      <c r="P48" s="24">
        <v>630</v>
      </c>
      <c r="Q48" s="26"/>
      <c r="R48" s="24">
        <v>623</v>
      </c>
      <c r="S48" s="24">
        <v>738</v>
      </c>
      <c r="T48" s="24">
        <v>505</v>
      </c>
      <c r="U48" s="449">
        <v>585</v>
      </c>
      <c r="V48" s="439"/>
      <c r="W48" s="439"/>
      <c r="X48" s="439"/>
      <c r="Y48" s="439"/>
      <c r="Z48" s="439"/>
      <c r="AA48" s="439"/>
      <c r="AB48" s="439"/>
      <c r="AC48" s="439"/>
      <c r="AD48" s="439"/>
      <c r="AE48" s="439"/>
      <c r="AF48" s="439"/>
      <c r="AG48" s="439"/>
      <c r="AH48" s="439"/>
      <c r="AI48" s="439"/>
      <c r="AJ48" s="439"/>
      <c r="AK48" s="439"/>
      <c r="AL48" s="439"/>
      <c r="AM48" s="439"/>
      <c r="AN48" s="439"/>
      <c r="AO48" s="439"/>
      <c r="AP48" s="439"/>
      <c r="AQ48" s="439"/>
      <c r="AR48" s="439"/>
      <c r="AS48" s="439"/>
      <c r="AT48" s="439"/>
      <c r="AU48" s="439"/>
      <c r="AV48" s="439"/>
      <c r="AW48" s="439"/>
      <c r="AX48" s="439"/>
      <c r="AY48" s="439"/>
      <c r="AZ48" s="439"/>
      <c r="BA48" s="439"/>
      <c r="BB48" s="439"/>
      <c r="BC48" s="439"/>
      <c r="BD48" s="439"/>
      <c r="BE48" s="439"/>
      <c r="BF48" s="439"/>
      <c r="BG48" s="439"/>
      <c r="BH48" s="439"/>
      <c r="BI48" s="439"/>
      <c r="BJ48" s="439"/>
      <c r="BK48" s="439"/>
      <c r="BL48" s="439"/>
      <c r="BM48" s="439"/>
      <c r="BN48" s="439"/>
      <c r="BO48" s="439"/>
      <c r="BP48" s="439"/>
      <c r="BQ48" s="439"/>
      <c r="BR48" s="439"/>
      <c r="BS48" s="439"/>
      <c r="BT48" s="439"/>
      <c r="BU48" s="439"/>
      <c r="BV48" s="439"/>
      <c r="BW48" s="439"/>
      <c r="BX48" s="439"/>
      <c r="BY48" s="439"/>
      <c r="BZ48" s="439"/>
      <c r="CA48" s="439"/>
      <c r="CB48" s="439"/>
      <c r="CC48" s="439"/>
      <c r="CD48" s="439"/>
      <c r="CE48" s="439"/>
      <c r="CF48" s="439"/>
      <c r="CG48" s="439"/>
      <c r="CH48" s="439"/>
      <c r="CI48" s="439"/>
      <c r="CJ48" s="439"/>
      <c r="CK48" s="439"/>
      <c r="CL48" s="439"/>
      <c r="CM48" s="439"/>
      <c r="CN48" s="439"/>
      <c r="CO48" s="439"/>
      <c r="CP48" s="439"/>
      <c r="CQ48" s="439"/>
      <c r="CR48" s="439"/>
      <c r="CS48" s="439"/>
      <c r="CT48" s="439"/>
      <c r="CU48" s="439"/>
      <c r="CV48" s="439"/>
      <c r="CW48" s="439"/>
      <c r="CX48" s="439"/>
      <c r="CY48" s="439"/>
      <c r="CZ48" s="439"/>
      <c r="DA48" s="439"/>
      <c r="DB48" s="439"/>
      <c r="DC48" s="439"/>
      <c r="DD48" s="439"/>
      <c r="DE48" s="439"/>
      <c r="DF48" s="439"/>
      <c r="DG48" s="439"/>
      <c r="DH48" s="439"/>
      <c r="DI48" s="439"/>
      <c r="DJ48" s="439"/>
      <c r="DK48" s="439"/>
      <c r="DL48" s="440"/>
      <c r="DM48" s="440"/>
      <c r="DN48" s="440"/>
      <c r="DO48" s="440"/>
      <c r="DP48" s="440"/>
      <c r="DQ48" s="440"/>
      <c r="DR48" s="440"/>
      <c r="DS48" s="440"/>
      <c r="DT48" s="440"/>
      <c r="DU48" s="440"/>
      <c r="DV48" s="440"/>
      <c r="DW48" s="440"/>
      <c r="DX48" s="440"/>
      <c r="DY48" s="440"/>
      <c r="DZ48" s="440"/>
      <c r="EA48" s="440"/>
      <c r="EB48" s="440"/>
      <c r="EC48" s="440"/>
      <c r="ED48" s="440"/>
      <c r="EE48" s="440"/>
      <c r="EF48" s="440"/>
      <c r="EG48" s="440"/>
      <c r="EH48" s="440"/>
      <c r="EI48" s="440"/>
      <c r="EJ48" s="440"/>
      <c r="EK48" s="440"/>
      <c r="EL48" s="440"/>
      <c r="EM48" s="440"/>
      <c r="EN48" s="440"/>
      <c r="EO48" s="440"/>
      <c r="EP48" s="440"/>
      <c r="EQ48" s="440"/>
      <c r="ER48" s="440"/>
      <c r="ES48" s="440"/>
      <c r="ET48" s="440"/>
      <c r="EU48" s="440"/>
      <c r="EV48" s="440"/>
      <c r="EW48" s="440"/>
      <c r="EX48" s="440"/>
      <c r="EY48" s="440"/>
      <c r="EZ48" s="440"/>
      <c r="FA48" s="440"/>
      <c r="FB48" s="440"/>
      <c r="FC48" s="440"/>
      <c r="FD48" s="440"/>
      <c r="FE48" s="440"/>
      <c r="FF48" s="440"/>
      <c r="FG48" s="440"/>
      <c r="FH48" s="440"/>
      <c r="FI48" s="440"/>
      <c r="FJ48" s="440"/>
      <c r="FK48" s="440"/>
      <c r="FL48" s="440"/>
      <c r="FM48" s="440"/>
      <c r="FN48" s="440"/>
      <c r="FO48" s="440"/>
      <c r="FP48" s="440"/>
      <c r="FQ48" s="440"/>
      <c r="FR48" s="440"/>
      <c r="FS48" s="440"/>
      <c r="FT48" s="440"/>
      <c r="FU48" s="440"/>
      <c r="FV48" s="440"/>
      <c r="FW48" s="440"/>
      <c r="FX48" s="440"/>
      <c r="FY48" s="440"/>
      <c r="FZ48" s="440"/>
      <c r="GA48" s="440"/>
      <c r="GB48" s="440"/>
      <c r="GC48" s="440"/>
      <c r="GD48" s="440"/>
      <c r="GE48" s="440"/>
      <c r="GF48" s="440"/>
      <c r="GG48" s="440"/>
      <c r="GH48" s="440"/>
      <c r="GI48" s="440"/>
      <c r="GJ48" s="440"/>
      <c r="GK48" s="440"/>
      <c r="GL48" s="440"/>
      <c r="GM48" s="440"/>
      <c r="GN48" s="440"/>
      <c r="GO48" s="440"/>
      <c r="GP48" s="440"/>
      <c r="GQ48" s="440"/>
      <c r="GR48" s="440"/>
      <c r="GS48" s="440"/>
      <c r="GT48" s="440"/>
      <c r="GU48" s="440"/>
      <c r="GV48" s="440"/>
      <c r="GW48" s="440"/>
      <c r="GX48" s="440"/>
      <c r="GY48" s="440"/>
      <c r="GZ48" s="440"/>
      <c r="HA48" s="440"/>
      <c r="HB48" s="440"/>
      <c r="HC48" s="440"/>
      <c r="HD48" s="440"/>
      <c r="HE48" s="440"/>
      <c r="HF48" s="440"/>
      <c r="HG48" s="440"/>
      <c r="HH48" s="440"/>
      <c r="HI48" s="440"/>
      <c r="HJ48" s="440"/>
      <c r="HK48" s="440"/>
      <c r="HL48" s="440"/>
      <c r="HM48" s="440"/>
      <c r="HN48" s="440"/>
      <c r="HO48" s="440"/>
      <c r="HP48" s="440"/>
      <c r="HQ48" s="440"/>
      <c r="HR48" s="440"/>
      <c r="HS48" s="440"/>
      <c r="HT48" s="440"/>
      <c r="HU48" s="440"/>
      <c r="HV48" s="440"/>
      <c r="HW48" s="440"/>
      <c r="HX48" s="440"/>
      <c r="HY48" s="440"/>
      <c r="HZ48" s="440"/>
      <c r="IA48" s="440"/>
      <c r="IB48" s="440"/>
      <c r="IC48" s="440"/>
      <c r="ID48" s="440"/>
      <c r="IE48" s="440"/>
      <c r="IF48" s="440"/>
      <c r="IG48" s="440"/>
      <c r="IH48" s="440"/>
      <c r="II48" s="440"/>
      <c r="IJ48" s="440"/>
      <c r="IK48" s="440"/>
      <c r="IL48" s="440"/>
      <c r="IM48" s="440"/>
    </row>
    <row r="49" spans="1:247" ht="11.25">
      <c r="A49" s="645" t="s">
        <v>155</v>
      </c>
      <c r="B49" s="646"/>
      <c r="C49" s="447"/>
      <c r="D49" s="27">
        <v>977</v>
      </c>
      <c r="E49" s="25"/>
      <c r="F49" s="27">
        <v>1064</v>
      </c>
      <c r="G49" s="25"/>
      <c r="H49" s="27">
        <v>1019</v>
      </c>
      <c r="I49" s="24">
        <v>1240</v>
      </c>
      <c r="J49" s="24">
        <v>1165</v>
      </c>
      <c r="K49" s="24">
        <v>1086</v>
      </c>
      <c r="L49" s="25"/>
      <c r="M49" s="27">
        <v>1107</v>
      </c>
      <c r="N49" s="24">
        <v>1271</v>
      </c>
      <c r="O49" s="24">
        <v>1307</v>
      </c>
      <c r="P49" s="24">
        <v>1089</v>
      </c>
      <c r="Q49" s="26"/>
      <c r="R49" s="24">
        <v>972</v>
      </c>
      <c r="S49" s="24">
        <f>1038+283</f>
        <v>1321</v>
      </c>
      <c r="T49" s="24">
        <f>1042+287</f>
        <v>1329</v>
      </c>
      <c r="U49" s="446">
        <f>271+1034</f>
        <v>1305</v>
      </c>
      <c r="V49" s="439"/>
      <c r="W49" s="439"/>
      <c r="X49" s="439"/>
      <c r="Y49" s="439"/>
      <c r="Z49" s="439"/>
      <c r="AA49" s="439"/>
      <c r="AB49" s="439"/>
      <c r="AC49" s="439"/>
      <c r="AD49" s="439"/>
      <c r="AE49" s="439"/>
      <c r="AF49" s="439"/>
      <c r="AG49" s="439"/>
      <c r="AH49" s="439"/>
      <c r="AI49" s="439"/>
      <c r="AJ49" s="439"/>
      <c r="AK49" s="439"/>
      <c r="AL49" s="439"/>
      <c r="AM49" s="439"/>
      <c r="AN49" s="439"/>
      <c r="AO49" s="439"/>
      <c r="AP49" s="439"/>
      <c r="AQ49" s="439"/>
      <c r="AR49" s="439"/>
      <c r="AS49" s="439"/>
      <c r="AT49" s="439"/>
      <c r="AU49" s="439"/>
      <c r="AV49" s="439"/>
      <c r="AW49" s="439"/>
      <c r="AX49" s="439"/>
      <c r="AY49" s="439"/>
      <c r="AZ49" s="439"/>
      <c r="BA49" s="439"/>
      <c r="BB49" s="439"/>
      <c r="BC49" s="439"/>
      <c r="BD49" s="439"/>
      <c r="BE49" s="439"/>
      <c r="BF49" s="439"/>
      <c r="BG49" s="439"/>
      <c r="BH49" s="439"/>
      <c r="BI49" s="439"/>
      <c r="BJ49" s="439"/>
      <c r="BK49" s="439"/>
      <c r="BL49" s="439"/>
      <c r="BM49" s="439"/>
      <c r="BN49" s="439"/>
      <c r="BO49" s="439"/>
      <c r="BP49" s="439"/>
      <c r="BQ49" s="439"/>
      <c r="BR49" s="439"/>
      <c r="BS49" s="439"/>
      <c r="BT49" s="439"/>
      <c r="BU49" s="439"/>
      <c r="BV49" s="439"/>
      <c r="BW49" s="439"/>
      <c r="BX49" s="439"/>
      <c r="BY49" s="439"/>
      <c r="BZ49" s="439"/>
      <c r="CA49" s="439"/>
      <c r="CB49" s="439"/>
      <c r="CC49" s="439"/>
      <c r="CD49" s="439"/>
      <c r="CE49" s="439"/>
      <c r="CF49" s="439"/>
      <c r="CG49" s="439"/>
      <c r="CH49" s="439"/>
      <c r="CI49" s="439"/>
      <c r="CJ49" s="439"/>
      <c r="CK49" s="439"/>
      <c r="CL49" s="439"/>
      <c r="CM49" s="439"/>
      <c r="CN49" s="439"/>
      <c r="CO49" s="439"/>
      <c r="CP49" s="439"/>
      <c r="CQ49" s="439"/>
      <c r="CR49" s="439"/>
      <c r="CS49" s="439"/>
      <c r="CT49" s="439"/>
      <c r="CU49" s="439"/>
      <c r="CV49" s="439"/>
      <c r="CW49" s="439"/>
      <c r="CX49" s="439"/>
      <c r="CY49" s="439"/>
      <c r="CZ49" s="439"/>
      <c r="DA49" s="439"/>
      <c r="DB49" s="439"/>
      <c r="DC49" s="439"/>
      <c r="DD49" s="439"/>
      <c r="DE49" s="439"/>
      <c r="DF49" s="439"/>
      <c r="DG49" s="439"/>
      <c r="DH49" s="439"/>
      <c r="DI49" s="439"/>
      <c r="DJ49" s="439"/>
      <c r="DK49" s="439"/>
      <c r="DL49" s="440"/>
      <c r="DM49" s="440"/>
      <c r="DN49" s="440"/>
      <c r="DO49" s="440"/>
      <c r="DP49" s="440"/>
      <c r="DQ49" s="440"/>
      <c r="DR49" s="440"/>
      <c r="DS49" s="440"/>
      <c r="DT49" s="440"/>
      <c r="DU49" s="440"/>
      <c r="DV49" s="440"/>
      <c r="DW49" s="440"/>
      <c r="DX49" s="440"/>
      <c r="DY49" s="440"/>
      <c r="DZ49" s="440"/>
      <c r="EA49" s="440"/>
      <c r="EB49" s="440"/>
      <c r="EC49" s="440"/>
      <c r="ED49" s="440"/>
      <c r="EE49" s="440"/>
      <c r="EF49" s="440"/>
      <c r="EG49" s="440"/>
      <c r="EH49" s="440"/>
      <c r="EI49" s="440"/>
      <c r="EJ49" s="440"/>
      <c r="EK49" s="440"/>
      <c r="EL49" s="440"/>
      <c r="EM49" s="440"/>
      <c r="EN49" s="440"/>
      <c r="EO49" s="440"/>
      <c r="EP49" s="440"/>
      <c r="EQ49" s="440"/>
      <c r="ER49" s="440"/>
      <c r="ES49" s="440"/>
      <c r="ET49" s="440"/>
      <c r="EU49" s="440"/>
      <c r="EV49" s="440"/>
      <c r="EW49" s="440"/>
      <c r="EX49" s="440"/>
      <c r="EY49" s="440"/>
      <c r="EZ49" s="440"/>
      <c r="FA49" s="440"/>
      <c r="FB49" s="440"/>
      <c r="FC49" s="440"/>
      <c r="FD49" s="440"/>
      <c r="FE49" s="440"/>
      <c r="FF49" s="440"/>
      <c r="FG49" s="440"/>
      <c r="FH49" s="440"/>
      <c r="FI49" s="440"/>
      <c r="FJ49" s="440"/>
      <c r="FK49" s="440"/>
      <c r="FL49" s="440"/>
      <c r="FM49" s="440"/>
      <c r="FN49" s="440"/>
      <c r="FO49" s="440"/>
      <c r="FP49" s="440"/>
      <c r="FQ49" s="440"/>
      <c r="FR49" s="440"/>
      <c r="FS49" s="440"/>
      <c r="FT49" s="440"/>
      <c r="FU49" s="440"/>
      <c r="FV49" s="440"/>
      <c r="FW49" s="440"/>
      <c r="FX49" s="440"/>
      <c r="FY49" s="440"/>
      <c r="FZ49" s="440"/>
      <c r="GA49" s="440"/>
      <c r="GB49" s="440"/>
      <c r="GC49" s="440"/>
      <c r="GD49" s="440"/>
      <c r="GE49" s="440"/>
      <c r="GF49" s="440"/>
      <c r="GG49" s="440"/>
      <c r="GH49" s="440"/>
      <c r="GI49" s="440"/>
      <c r="GJ49" s="440"/>
      <c r="GK49" s="440"/>
      <c r="GL49" s="440"/>
      <c r="GM49" s="440"/>
      <c r="GN49" s="440"/>
      <c r="GO49" s="440"/>
      <c r="GP49" s="440"/>
      <c r="GQ49" s="440"/>
      <c r="GR49" s="440"/>
      <c r="GS49" s="440"/>
      <c r="GT49" s="440"/>
      <c r="GU49" s="440"/>
      <c r="GV49" s="440"/>
      <c r="GW49" s="440"/>
      <c r="GX49" s="440"/>
      <c r="GY49" s="440"/>
      <c r="GZ49" s="440"/>
      <c r="HA49" s="440"/>
      <c r="HB49" s="440"/>
      <c r="HC49" s="440"/>
      <c r="HD49" s="440"/>
      <c r="HE49" s="440"/>
      <c r="HF49" s="440"/>
      <c r="HG49" s="440"/>
      <c r="HH49" s="440"/>
      <c r="HI49" s="440"/>
      <c r="HJ49" s="440"/>
      <c r="HK49" s="440"/>
      <c r="HL49" s="440"/>
      <c r="HM49" s="440"/>
      <c r="HN49" s="440"/>
      <c r="HO49" s="440"/>
      <c r="HP49" s="440"/>
      <c r="HQ49" s="440"/>
      <c r="HR49" s="440"/>
      <c r="HS49" s="440"/>
      <c r="HT49" s="440"/>
      <c r="HU49" s="440"/>
      <c r="HV49" s="440"/>
      <c r="HW49" s="440"/>
      <c r="HX49" s="440"/>
      <c r="HY49" s="440"/>
      <c r="HZ49" s="440"/>
      <c r="IA49" s="440"/>
      <c r="IB49" s="440"/>
      <c r="IC49" s="440"/>
      <c r="ID49" s="440"/>
      <c r="IE49" s="440"/>
      <c r="IF49" s="440"/>
      <c r="IG49" s="440"/>
      <c r="IH49" s="440"/>
      <c r="II49" s="440"/>
      <c r="IJ49" s="440"/>
      <c r="IK49" s="440"/>
      <c r="IL49" s="440"/>
      <c r="IM49" s="440"/>
    </row>
    <row r="50" spans="1:21" ht="11.25" customHeight="1">
      <c r="A50" s="657" t="s">
        <v>160</v>
      </c>
      <c r="B50" s="657"/>
      <c r="D50" s="27">
        <v>5552</v>
      </c>
      <c r="E50" s="25"/>
      <c r="F50" s="27">
        <f>F44+F45+F46+F47+F48+F49</f>
        <v>6197</v>
      </c>
      <c r="G50" s="25"/>
      <c r="H50" s="27">
        <f>H44+H45+H46+H47+H48+H49</f>
        <v>6767</v>
      </c>
      <c r="I50" s="24">
        <f>I44+I45+I46+I47+I48+I49</f>
        <v>6609</v>
      </c>
      <c r="J50" s="24">
        <f>J44+J45+J46+J47+J48+J49</f>
        <v>5398</v>
      </c>
      <c r="K50" s="24">
        <f>K44+K45+K46+K47+K48+K49</f>
        <v>5866</v>
      </c>
      <c r="L50" s="25"/>
      <c r="M50" s="27">
        <f aca="true" t="shared" si="3" ref="M50:T50">M44+M45+M46+M47+M48+M49</f>
        <v>6133</v>
      </c>
      <c r="N50" s="24">
        <f t="shared" si="3"/>
        <v>5919</v>
      </c>
      <c r="O50" s="24">
        <f t="shared" si="3"/>
        <v>5702</v>
      </c>
      <c r="P50" s="24">
        <f t="shared" si="3"/>
        <v>5459</v>
      </c>
      <c r="Q50" s="26"/>
      <c r="R50" s="24">
        <f t="shared" si="3"/>
        <v>5929</v>
      </c>
      <c r="S50" s="24">
        <f t="shared" si="3"/>
        <v>5475</v>
      </c>
      <c r="T50" s="24">
        <f t="shared" si="3"/>
        <v>5555</v>
      </c>
      <c r="U50" s="446">
        <f>U44+U45+U46+U47+U48+U49</f>
        <v>5865</v>
      </c>
    </row>
    <row r="51" spans="1:21" ht="11.25" customHeight="1">
      <c r="A51" s="658" t="s">
        <v>161</v>
      </c>
      <c r="B51" s="658"/>
      <c r="C51" s="82"/>
      <c r="D51" s="20">
        <v>14844</v>
      </c>
      <c r="E51" s="18"/>
      <c r="F51" s="20">
        <f>F50+F43</f>
        <v>16350</v>
      </c>
      <c r="G51" s="18"/>
      <c r="H51" s="20">
        <f>H50+H43</f>
        <v>16559</v>
      </c>
      <c r="I51" s="17">
        <f>I50+I43</f>
        <v>17935</v>
      </c>
      <c r="J51" s="17">
        <f>J50+J43</f>
        <v>17147</v>
      </c>
      <c r="K51" s="17">
        <f>K50+K43</f>
        <v>17531</v>
      </c>
      <c r="L51" s="18"/>
      <c r="M51" s="20">
        <f aca="true" t="shared" si="4" ref="M51:T51">M50+M43</f>
        <v>16858</v>
      </c>
      <c r="N51" s="17">
        <f t="shared" si="4"/>
        <v>16402</v>
      </c>
      <c r="O51" s="17">
        <f t="shared" si="4"/>
        <v>16456</v>
      </c>
      <c r="P51" s="17">
        <f t="shared" si="4"/>
        <v>16337</v>
      </c>
      <c r="Q51" s="19"/>
      <c r="R51" s="17">
        <f t="shared" si="4"/>
        <v>16703</v>
      </c>
      <c r="S51" s="17">
        <f t="shared" si="4"/>
        <v>17997</v>
      </c>
      <c r="T51" s="17">
        <f t="shared" si="4"/>
        <v>17604</v>
      </c>
      <c r="U51" s="445">
        <f>U50+U43</f>
        <v>18012</v>
      </c>
    </row>
    <row r="52" spans="1:21" ht="11.25" customHeight="1">
      <c r="A52" s="658" t="s">
        <v>162</v>
      </c>
      <c r="B52" s="658"/>
      <c r="C52" s="82"/>
      <c r="D52" s="20">
        <v>40374</v>
      </c>
      <c r="E52" s="589"/>
      <c r="F52" s="20">
        <f>F51+F36</f>
        <v>36764</v>
      </c>
      <c r="G52" s="589"/>
      <c r="H52" s="20">
        <f>H51+H36</f>
        <v>37098</v>
      </c>
      <c r="I52" s="17">
        <f>I51+I36</f>
        <v>38411</v>
      </c>
      <c r="J52" s="17">
        <f>J51+J36</f>
        <v>37891</v>
      </c>
      <c r="K52" s="17">
        <f>K51+K36</f>
        <v>33442</v>
      </c>
      <c r="L52" s="589"/>
      <c r="M52" s="20">
        <f aca="true" t="shared" si="5" ref="M52:T52">M51+M36</f>
        <v>33629</v>
      </c>
      <c r="N52" s="17">
        <f t="shared" si="5"/>
        <v>33501</v>
      </c>
      <c r="O52" s="17">
        <f t="shared" si="5"/>
        <v>34306</v>
      </c>
      <c r="P52" s="17">
        <f t="shared" si="5"/>
        <v>34122</v>
      </c>
      <c r="Q52" s="589"/>
      <c r="R52" s="17">
        <f t="shared" si="5"/>
        <v>34904</v>
      </c>
      <c r="S52" s="17">
        <f t="shared" si="5"/>
        <v>36071</v>
      </c>
      <c r="T52" s="17">
        <f t="shared" si="5"/>
        <v>36221</v>
      </c>
      <c r="U52" s="445">
        <f>U51+U36</f>
        <v>37237</v>
      </c>
    </row>
    <row r="53" spans="4:17" ht="11.25">
      <c r="D53" s="60"/>
      <c r="E53" s="443"/>
      <c r="F53" s="444"/>
      <c r="G53" s="443"/>
      <c r="H53" s="444"/>
      <c r="I53" s="444"/>
      <c r="J53" s="444"/>
      <c r="K53" s="444"/>
      <c r="L53" s="443"/>
      <c r="Q53" s="443"/>
    </row>
  </sheetData>
  <sheetProtection/>
  <mergeCells count="22">
    <mergeCell ref="A2:B2"/>
    <mergeCell ref="A6:B6"/>
    <mergeCell ref="A9:B9"/>
    <mergeCell ref="A12:B12"/>
    <mergeCell ref="A16:B16"/>
    <mergeCell ref="A19:B19"/>
    <mergeCell ref="A20:B20"/>
    <mergeCell ref="A21:B21"/>
    <mergeCell ref="A22:B22"/>
    <mergeCell ref="A23:B23"/>
    <mergeCell ref="A24:B24"/>
    <mergeCell ref="A25:B25"/>
    <mergeCell ref="A43:B43"/>
    <mergeCell ref="A50:B50"/>
    <mergeCell ref="A51:B51"/>
    <mergeCell ref="A52:B52"/>
    <mergeCell ref="A26:B26"/>
    <mergeCell ref="A27:B27"/>
    <mergeCell ref="A29:B29"/>
    <mergeCell ref="A34:B34"/>
    <mergeCell ref="A35:B35"/>
    <mergeCell ref="A36:B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61"/>
  <sheetViews>
    <sheetView zoomScale="69" zoomScaleNormal="69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A19" sqref="AA19"/>
    </sheetView>
  </sheetViews>
  <sheetFormatPr defaultColWidth="8.8515625" defaultRowHeight="12.75"/>
  <cols>
    <col min="1" max="1" width="58.28125" style="1" customWidth="1"/>
    <col min="2" max="2" width="1.28515625" style="2" customWidth="1"/>
    <col min="3" max="7" width="9.421875" style="205" customWidth="1"/>
    <col min="8" max="8" width="0.9921875" style="205" customWidth="1"/>
    <col min="9" max="12" width="9.421875" style="205" customWidth="1"/>
    <col min="13" max="13" width="10.00390625" style="1" customWidth="1"/>
    <col min="14" max="14" width="1.7109375" style="2" customWidth="1"/>
    <col min="15" max="18" width="9.421875" style="2" customWidth="1"/>
    <col min="19" max="19" width="9.421875" style="1" customWidth="1"/>
    <col min="20" max="20" width="0.9921875" style="1" customWidth="1"/>
    <col min="21" max="24" width="9.421875" style="2" customWidth="1"/>
    <col min="25" max="25" width="8.57421875" style="1" customWidth="1"/>
    <col min="26" max="26" width="0.9921875" style="2" customWidth="1"/>
    <col min="27" max="29" width="10.7109375" style="1" customWidth="1"/>
    <col min="30" max="30" width="8.8515625" style="1" customWidth="1"/>
    <col min="31" max="31" width="0.85546875" style="1" customWidth="1"/>
    <col min="32" max="16384" width="8.8515625" style="1" customWidth="1"/>
  </cols>
  <sheetData>
    <row r="1" spans="1:2" ht="16.5" customHeight="1">
      <c r="A1" s="5" t="s">
        <v>163</v>
      </c>
      <c r="B1" s="8"/>
    </row>
    <row r="2" spans="2:26" s="206" customFormat="1" ht="18" customHeight="1">
      <c r="B2" s="207"/>
      <c r="C2" s="208"/>
      <c r="D2" s="208"/>
      <c r="E2" s="208"/>
      <c r="F2" s="208"/>
      <c r="G2" s="208"/>
      <c r="H2" s="208"/>
      <c r="I2" s="208"/>
      <c r="J2" s="208"/>
      <c r="K2" s="208"/>
      <c r="L2" s="208"/>
      <c r="N2" s="207"/>
      <c r="O2" s="207"/>
      <c r="P2" s="207"/>
      <c r="Q2" s="207"/>
      <c r="R2" s="207"/>
      <c r="U2" s="207"/>
      <c r="V2" s="207"/>
      <c r="W2" s="207"/>
      <c r="X2" s="207"/>
      <c r="Z2" s="207"/>
    </row>
    <row r="3" spans="1:26" s="215" customFormat="1" ht="12" customHeight="1">
      <c r="A3" s="67" t="s">
        <v>41</v>
      </c>
      <c r="B3" s="209"/>
      <c r="C3" s="210"/>
      <c r="D3" s="210"/>
      <c r="E3" s="210"/>
      <c r="F3" s="210"/>
      <c r="G3" s="211"/>
      <c r="H3" s="212"/>
      <c r="I3" s="210"/>
      <c r="J3" s="210"/>
      <c r="K3" s="210"/>
      <c r="L3" s="210"/>
      <c r="M3" s="211"/>
      <c r="N3" s="213"/>
      <c r="O3" s="210"/>
      <c r="P3" s="210"/>
      <c r="Q3" s="210"/>
      <c r="R3" s="210"/>
      <c r="S3" s="213"/>
      <c r="T3" s="214"/>
      <c r="U3" s="210"/>
      <c r="V3" s="210"/>
      <c r="W3" s="210"/>
      <c r="X3" s="210"/>
      <c r="Z3" s="538"/>
    </row>
    <row r="4" spans="1:32" s="215" customFormat="1" ht="12" customHeight="1">
      <c r="A4" s="71" t="s">
        <v>42</v>
      </c>
      <c r="B4" s="217"/>
      <c r="C4" s="218">
        <v>7041</v>
      </c>
      <c r="D4" s="219">
        <v>6787</v>
      </c>
      <c r="E4" s="219">
        <v>6994</v>
      </c>
      <c r="F4" s="219">
        <v>6624</v>
      </c>
      <c r="G4" s="219">
        <v>6862</v>
      </c>
      <c r="H4" s="220"/>
      <c r="I4" s="218">
        <v>5818</v>
      </c>
      <c r="J4" s="219">
        <v>6043</v>
      </c>
      <c r="K4" s="219">
        <v>5259</v>
      </c>
      <c r="L4" s="219">
        <v>4892</v>
      </c>
      <c r="M4" s="219">
        <v>5495</v>
      </c>
      <c r="N4" s="221"/>
      <c r="O4" s="218">
        <v>4672</v>
      </c>
      <c r="P4" s="219">
        <v>4729</v>
      </c>
      <c r="Q4" s="219">
        <v>4772</v>
      </c>
      <c r="R4" s="219">
        <v>5277</v>
      </c>
      <c r="S4" s="222">
        <v>4863</v>
      </c>
      <c r="T4" s="223"/>
      <c r="U4" s="218">
        <v>5831</v>
      </c>
      <c r="V4" s="219">
        <v>5662</v>
      </c>
      <c r="W4" s="219">
        <v>6348.7109375</v>
      </c>
      <c r="X4" s="219">
        <v>6808</v>
      </c>
      <c r="Y4" s="494">
        <v>6166</v>
      </c>
      <c r="Z4" s="539"/>
      <c r="AA4" s="513">
        <v>6960.53</v>
      </c>
      <c r="AB4" s="514">
        <v>6872.23</v>
      </c>
      <c r="AC4" s="514">
        <v>6105</v>
      </c>
      <c r="AD4" s="514">
        <v>6171.9</v>
      </c>
      <c r="AE4" s="593"/>
      <c r="AF4" s="515">
        <v>6523.04</v>
      </c>
    </row>
    <row r="5" spans="1:32" s="215" customFormat="1" ht="12" customHeight="1">
      <c r="A5" s="71" t="s">
        <v>43</v>
      </c>
      <c r="B5" s="217"/>
      <c r="C5" s="224">
        <v>20.48</v>
      </c>
      <c r="D5" s="225">
        <v>19.62</v>
      </c>
      <c r="E5" s="225">
        <v>19.76</v>
      </c>
      <c r="F5" s="225">
        <v>16.5</v>
      </c>
      <c r="G5" s="225">
        <v>19.08</v>
      </c>
      <c r="H5" s="226"/>
      <c r="I5" s="224">
        <v>16.71</v>
      </c>
      <c r="J5" s="225">
        <v>16.39</v>
      </c>
      <c r="K5" s="225">
        <v>14.91</v>
      </c>
      <c r="L5" s="225">
        <v>14.77</v>
      </c>
      <c r="M5" s="225">
        <v>15.68</v>
      </c>
      <c r="N5" s="227"/>
      <c r="O5" s="224">
        <v>14.85</v>
      </c>
      <c r="P5" s="225">
        <v>16.78</v>
      </c>
      <c r="Q5" s="225">
        <v>19.61</v>
      </c>
      <c r="R5" s="225">
        <v>17.19</v>
      </c>
      <c r="S5" s="228">
        <v>17.14</v>
      </c>
      <c r="T5" s="223"/>
      <c r="U5" s="224">
        <v>17.42</v>
      </c>
      <c r="V5" s="225">
        <v>17.21</v>
      </c>
      <c r="W5" s="225">
        <v>16.835</v>
      </c>
      <c r="X5" s="225">
        <v>16.73</v>
      </c>
      <c r="Y5" s="495">
        <v>17.05</v>
      </c>
      <c r="Z5" s="508"/>
      <c r="AA5" s="516">
        <v>16.77</v>
      </c>
      <c r="AB5" s="228">
        <v>16.5322</v>
      </c>
      <c r="AC5" s="228">
        <v>15.02</v>
      </c>
      <c r="AD5" s="228">
        <v>14.54</v>
      </c>
      <c r="AE5" s="508"/>
      <c r="AF5" s="517">
        <v>15.7054</v>
      </c>
    </row>
    <row r="6" spans="1:32" s="215" customFormat="1" ht="12" customHeight="1">
      <c r="A6" s="71" t="s">
        <v>44</v>
      </c>
      <c r="B6" s="217"/>
      <c r="C6" s="224">
        <v>3.06</v>
      </c>
      <c r="D6" s="225">
        <v>3.04</v>
      </c>
      <c r="E6" s="225">
        <v>3.15</v>
      </c>
      <c r="F6" s="225">
        <v>3.37</v>
      </c>
      <c r="G6" s="229">
        <v>3.15</v>
      </c>
      <c r="H6" s="226"/>
      <c r="I6" s="224">
        <v>3.73</v>
      </c>
      <c r="J6" s="225">
        <v>3.7</v>
      </c>
      <c r="K6" s="225">
        <v>3.77</v>
      </c>
      <c r="L6" s="225">
        <v>3.89</v>
      </c>
      <c r="M6" s="225">
        <v>3.77</v>
      </c>
      <c r="N6" s="227"/>
      <c r="O6" s="224">
        <v>3.96</v>
      </c>
      <c r="P6" s="225">
        <v>3.87</v>
      </c>
      <c r="Q6" s="225">
        <v>3.89</v>
      </c>
      <c r="R6" s="225">
        <v>4.06</v>
      </c>
      <c r="S6" s="228">
        <v>3.94</v>
      </c>
      <c r="T6" s="223"/>
      <c r="U6" s="224">
        <v>4.0584828125</v>
      </c>
      <c r="V6" s="225">
        <v>3.8306918032786883</v>
      </c>
      <c r="W6" s="225">
        <v>3.6250546875000005</v>
      </c>
      <c r="X6" s="225">
        <v>3.6</v>
      </c>
      <c r="Y6" s="495">
        <v>3.78</v>
      </c>
      <c r="Z6" s="508"/>
      <c r="AA6" s="516">
        <v>3.4009</v>
      </c>
      <c r="AB6" s="228">
        <v>3.5778</v>
      </c>
      <c r="AC6" s="228">
        <v>3.7</v>
      </c>
      <c r="AD6" s="228">
        <v>3.7671</v>
      </c>
      <c r="AE6" s="508"/>
      <c r="AF6" s="518">
        <v>3.6117</v>
      </c>
    </row>
    <row r="7" spans="1:32" s="215" customFormat="1" ht="12" customHeight="1">
      <c r="A7" s="71" t="s">
        <v>45</v>
      </c>
      <c r="B7" s="217"/>
      <c r="C7" s="224">
        <v>3.0344</v>
      </c>
      <c r="D7" s="225">
        <v>3.0473</v>
      </c>
      <c r="E7" s="225">
        <v>3.2973</v>
      </c>
      <c r="F7" s="225">
        <v>3.5072</v>
      </c>
      <c r="G7" s="225">
        <f>+F7</f>
        <v>3.5072</v>
      </c>
      <c r="H7" s="226"/>
      <c r="I7" s="224">
        <v>3.8125</v>
      </c>
      <c r="J7" s="225">
        <v>3.7645</v>
      </c>
      <c r="K7" s="225">
        <v>3.7754</v>
      </c>
      <c r="L7" s="225">
        <v>3.9011</v>
      </c>
      <c r="M7" s="225">
        <f>+L7</f>
        <v>3.9011</v>
      </c>
      <c r="N7" s="227"/>
      <c r="O7" s="224">
        <v>3.759</v>
      </c>
      <c r="P7" s="225">
        <v>3.9803</v>
      </c>
      <c r="Q7" s="225">
        <v>3.8558</v>
      </c>
      <c r="R7" s="225">
        <v>4.1793</v>
      </c>
      <c r="S7" s="228">
        <f>+R7</f>
        <v>4.1793</v>
      </c>
      <c r="T7" s="223"/>
      <c r="U7" s="224">
        <v>3.95</v>
      </c>
      <c r="V7" s="225">
        <v>3.71</v>
      </c>
      <c r="W7" s="225">
        <v>3.65</v>
      </c>
      <c r="X7" s="225">
        <v>3.48</v>
      </c>
      <c r="Y7" s="495">
        <v>3.48</v>
      </c>
      <c r="Z7" s="508"/>
      <c r="AA7" s="516">
        <v>3.4139</v>
      </c>
      <c r="AB7" s="228">
        <v>3.744</v>
      </c>
      <c r="AC7" s="228">
        <v>3.68</v>
      </c>
      <c r="AD7" s="228">
        <v>3.7597</v>
      </c>
      <c r="AE7" s="508"/>
      <c r="AF7" s="517">
        <v>3.7597</v>
      </c>
    </row>
    <row r="8" spans="1:32" ht="12.75" customHeight="1">
      <c r="A8" s="230"/>
      <c r="B8" s="230"/>
      <c r="C8" s="231"/>
      <c r="I8" s="231"/>
      <c r="O8" s="232"/>
      <c r="U8" s="232"/>
      <c r="Y8" s="496"/>
      <c r="AA8" s="519"/>
      <c r="AB8" s="2"/>
      <c r="AC8" s="2"/>
      <c r="AD8" s="2"/>
      <c r="AE8" s="2"/>
      <c r="AF8" s="594"/>
    </row>
    <row r="9" spans="1:32" s="59" customFormat="1" ht="15" customHeight="1">
      <c r="A9" s="233" t="s">
        <v>46</v>
      </c>
      <c r="B9" s="233"/>
      <c r="C9" s="595" t="s">
        <v>0</v>
      </c>
      <c r="D9" s="595" t="s">
        <v>1</v>
      </c>
      <c r="E9" s="595" t="s">
        <v>2</v>
      </c>
      <c r="F9" s="595" t="s">
        <v>3</v>
      </c>
      <c r="G9" s="234">
        <v>2014</v>
      </c>
      <c r="H9" s="235"/>
      <c r="I9" s="595" t="s">
        <v>4</v>
      </c>
      <c r="J9" s="595" t="s">
        <v>5</v>
      </c>
      <c r="K9" s="595" t="s">
        <v>6</v>
      </c>
      <c r="L9" s="595" t="s">
        <v>7</v>
      </c>
      <c r="M9" s="234">
        <v>2015</v>
      </c>
      <c r="N9" s="234"/>
      <c r="O9" s="595" t="s">
        <v>8</v>
      </c>
      <c r="P9" s="595" t="s">
        <v>9</v>
      </c>
      <c r="Q9" s="595" t="s">
        <v>10</v>
      </c>
      <c r="R9" s="595" t="s">
        <v>11</v>
      </c>
      <c r="S9" s="234">
        <v>2016</v>
      </c>
      <c r="U9" s="595" t="s">
        <v>16</v>
      </c>
      <c r="V9" s="595" t="s">
        <v>17</v>
      </c>
      <c r="W9" s="595" t="s">
        <v>20</v>
      </c>
      <c r="X9" s="595" t="s">
        <v>21</v>
      </c>
      <c r="Y9" s="497">
        <v>2017</v>
      </c>
      <c r="Z9" s="234"/>
      <c r="AA9" s="595" t="s">
        <v>28</v>
      </c>
      <c r="AB9" s="595" t="s">
        <v>30</v>
      </c>
      <c r="AC9" s="595" t="s">
        <v>35</v>
      </c>
      <c r="AD9" s="595" t="s">
        <v>38</v>
      </c>
      <c r="AE9" s="236"/>
      <c r="AF9" s="595">
        <v>2018</v>
      </c>
    </row>
    <row r="10" spans="1:32" s="241" customFormat="1" ht="12" customHeight="1">
      <c r="A10" s="83" t="s">
        <v>47</v>
      </c>
      <c r="B10" s="7"/>
      <c r="C10" s="237">
        <v>3800</v>
      </c>
      <c r="D10" s="238">
        <f>7727-C10</f>
        <v>3927</v>
      </c>
      <c r="E10" s="238">
        <v>4116</v>
      </c>
      <c r="F10" s="238">
        <f>G10-11843</f>
        <v>4790</v>
      </c>
      <c r="G10" s="238">
        <v>16633</v>
      </c>
      <c r="H10" s="7"/>
      <c r="I10" s="237">
        <v>3767</v>
      </c>
      <c r="J10" s="238">
        <v>4325</v>
      </c>
      <c r="K10" s="238">
        <v>3681</v>
      </c>
      <c r="L10" s="238">
        <v>4166</v>
      </c>
      <c r="M10" s="238">
        <v>15939</v>
      </c>
      <c r="N10" s="239"/>
      <c r="O10" s="237">
        <v>2979</v>
      </c>
      <c r="P10" s="238">
        <v>3561</v>
      </c>
      <c r="Q10" s="238">
        <v>3744</v>
      </c>
      <c r="R10" s="238">
        <v>4828</v>
      </c>
      <c r="S10" s="240">
        <v>15112</v>
      </c>
      <c r="U10" s="237">
        <v>3896</v>
      </c>
      <c r="V10" s="238">
        <v>3805</v>
      </c>
      <c r="W10" s="238">
        <v>3732</v>
      </c>
      <c r="X10" s="238">
        <v>4591</v>
      </c>
      <c r="Y10" s="498">
        <f>U10+V10+W10+X10</f>
        <v>16024</v>
      </c>
      <c r="Z10" s="255"/>
      <c r="AA10" s="520">
        <v>3206</v>
      </c>
      <c r="AB10" s="240">
        <v>3983</v>
      </c>
      <c r="AC10" s="240">
        <v>4128</v>
      </c>
      <c r="AD10" s="240">
        <v>4440</v>
      </c>
      <c r="AE10" s="255"/>
      <c r="AF10" s="521">
        <v>15757</v>
      </c>
    </row>
    <row r="11" spans="1:32" s="205" customFormat="1" ht="12" customHeight="1">
      <c r="A11" s="242" t="s">
        <v>164</v>
      </c>
      <c r="B11" s="4"/>
      <c r="C11" s="243">
        <v>3153</v>
      </c>
      <c r="D11" s="244">
        <v>3021</v>
      </c>
      <c r="E11" s="244">
        <v>3244</v>
      </c>
      <c r="F11" s="244">
        <v>3799</v>
      </c>
      <c r="G11" s="244">
        <v>13217</v>
      </c>
      <c r="H11" s="4"/>
      <c r="I11" s="243">
        <v>2994</v>
      </c>
      <c r="J11" s="244">
        <v>3474</v>
      </c>
      <c r="K11" s="244">
        <v>2869</v>
      </c>
      <c r="L11" s="244">
        <v>3161</v>
      </c>
      <c r="M11" s="244">
        <v>12498</v>
      </c>
      <c r="N11" s="245"/>
      <c r="O11" s="243">
        <v>2280</v>
      </c>
      <c r="P11" s="244">
        <v>2585</v>
      </c>
      <c r="Q11" s="244">
        <v>2517</v>
      </c>
      <c r="R11" s="244">
        <v>3108</v>
      </c>
      <c r="S11" s="246">
        <v>10490</v>
      </c>
      <c r="U11" s="243">
        <v>2916</v>
      </c>
      <c r="V11" s="244">
        <v>2804</v>
      </c>
      <c r="W11" s="244">
        <v>2882</v>
      </c>
      <c r="X11" s="244">
        <v>3611</v>
      </c>
      <c r="Y11" s="499">
        <v>12213</v>
      </c>
      <c r="Z11" s="258"/>
      <c r="AA11" s="522">
        <v>2525</v>
      </c>
      <c r="AB11" s="246">
        <v>3166</v>
      </c>
      <c r="AC11" s="246">
        <v>3149</v>
      </c>
      <c r="AD11" s="246">
        <v>3102</v>
      </c>
      <c r="AE11" s="258"/>
      <c r="AF11" s="523">
        <v>11942</v>
      </c>
    </row>
    <row r="12" spans="1:32" s="205" customFormat="1" ht="12" customHeight="1">
      <c r="A12" s="242" t="s">
        <v>165</v>
      </c>
      <c r="B12" s="4"/>
      <c r="C12" s="243">
        <v>455</v>
      </c>
      <c r="D12" s="244">
        <v>690</v>
      </c>
      <c r="E12" s="244">
        <v>610</v>
      </c>
      <c r="F12" s="244">
        <v>717</v>
      </c>
      <c r="G12" s="244">
        <v>2471</v>
      </c>
      <c r="H12" s="4"/>
      <c r="I12" s="243">
        <v>501</v>
      </c>
      <c r="J12" s="244">
        <v>628</v>
      </c>
      <c r="K12" s="244">
        <v>562</v>
      </c>
      <c r="L12" s="244">
        <v>703</v>
      </c>
      <c r="M12" s="244">
        <v>2394</v>
      </c>
      <c r="N12" s="245"/>
      <c r="O12" s="243">
        <v>410</v>
      </c>
      <c r="P12" s="244">
        <v>676</v>
      </c>
      <c r="Q12" s="244">
        <v>739</v>
      </c>
      <c r="R12" s="244">
        <v>771</v>
      </c>
      <c r="S12" s="246">
        <v>2596</v>
      </c>
      <c r="U12" s="243">
        <v>560</v>
      </c>
      <c r="V12" s="244">
        <v>660</v>
      </c>
      <c r="W12" s="253">
        <v>507</v>
      </c>
      <c r="X12" s="253">
        <v>714</v>
      </c>
      <c r="Y12" s="499">
        <v>2441</v>
      </c>
      <c r="Z12" s="258"/>
      <c r="AA12" s="522">
        <v>392</v>
      </c>
      <c r="AB12" s="246">
        <v>538</v>
      </c>
      <c r="AC12" s="246">
        <v>683</v>
      </c>
      <c r="AD12" s="246">
        <v>488</v>
      </c>
      <c r="AE12" s="258"/>
      <c r="AF12" s="523">
        <v>2101</v>
      </c>
    </row>
    <row r="13" spans="1:32" s="241" customFormat="1" ht="12" customHeight="1">
      <c r="A13" s="247" t="s">
        <v>48</v>
      </c>
      <c r="B13" s="7"/>
      <c r="C13" s="248">
        <v>-2822</v>
      </c>
      <c r="D13" s="249">
        <v>-2905</v>
      </c>
      <c r="E13" s="249">
        <v>-3014</v>
      </c>
      <c r="F13" s="249">
        <v>-3524</v>
      </c>
      <c r="G13" s="249">
        <v>-12265</v>
      </c>
      <c r="H13" s="7"/>
      <c r="I13" s="248">
        <v>-2732</v>
      </c>
      <c r="J13" s="249">
        <v>-3050</v>
      </c>
      <c r="K13" s="249">
        <v>-2820</v>
      </c>
      <c r="L13" s="249">
        <v>-3207</v>
      </c>
      <c r="M13" s="249">
        <v>-11809</v>
      </c>
      <c r="N13" s="239"/>
      <c r="O13" s="248">
        <v>-2355</v>
      </c>
      <c r="P13" s="249">
        <v>-2785</v>
      </c>
      <c r="Q13" s="249">
        <v>-2831</v>
      </c>
      <c r="R13" s="249">
        <v>-3659</v>
      </c>
      <c r="S13" s="240">
        <v>-11630</v>
      </c>
      <c r="U13" s="248">
        <v>-2655</v>
      </c>
      <c r="V13" s="249">
        <v>-2916</v>
      </c>
      <c r="W13" s="249">
        <v>-2794</v>
      </c>
      <c r="X13" s="249">
        <v>-3657</v>
      </c>
      <c r="Y13" s="498">
        <f aca="true" t="shared" si="0" ref="Y13:Y34">U13+V13+W13+X13</f>
        <v>-12022</v>
      </c>
      <c r="Z13" s="255"/>
      <c r="AA13" s="520">
        <v>-2504</v>
      </c>
      <c r="AB13" s="240">
        <v>-3101</v>
      </c>
      <c r="AC13" s="240">
        <v>-3290</v>
      </c>
      <c r="AD13" s="240">
        <v>-3642</v>
      </c>
      <c r="AE13" s="255"/>
      <c r="AF13" s="521">
        <v>-12537</v>
      </c>
    </row>
    <row r="14" spans="1:32" s="205" customFormat="1" ht="12" customHeight="1">
      <c r="A14" s="250" t="s">
        <v>49</v>
      </c>
      <c r="B14" s="136"/>
      <c r="C14" s="237">
        <f>C10+C13</f>
        <v>978</v>
      </c>
      <c r="D14" s="238">
        <f>D10+D13</f>
        <v>1022</v>
      </c>
      <c r="E14" s="238">
        <f>E10+E13</f>
        <v>1102</v>
      </c>
      <c r="F14" s="238">
        <f>F10+F13</f>
        <v>1266</v>
      </c>
      <c r="G14" s="238">
        <f>G10+G13</f>
        <v>4368</v>
      </c>
      <c r="H14" s="136"/>
      <c r="I14" s="237">
        <f>I10+I13</f>
        <v>1035</v>
      </c>
      <c r="J14" s="238">
        <f>J10+J13</f>
        <v>1275</v>
      </c>
      <c r="K14" s="238">
        <f>K10+K13</f>
        <v>861</v>
      </c>
      <c r="L14" s="238">
        <f>L10+L13</f>
        <v>959</v>
      </c>
      <c r="M14" s="238">
        <f>M10+M13</f>
        <v>4130</v>
      </c>
      <c r="N14" s="239"/>
      <c r="O14" s="237">
        <f>O10+O13</f>
        <v>624</v>
      </c>
      <c r="P14" s="238">
        <f>P10+P13</f>
        <v>776</v>
      </c>
      <c r="Q14" s="238">
        <f>Q10+Q13</f>
        <v>913</v>
      </c>
      <c r="R14" s="238">
        <f>R10+R13</f>
        <v>1169</v>
      </c>
      <c r="S14" s="240">
        <f>S10+S13</f>
        <v>3482</v>
      </c>
      <c r="U14" s="237">
        <f>U10+U13</f>
        <v>1241</v>
      </c>
      <c r="V14" s="238">
        <f>V10+V13</f>
        <v>889</v>
      </c>
      <c r="W14" s="238">
        <f>W10+W13</f>
        <v>938</v>
      </c>
      <c r="X14" s="238">
        <v>934</v>
      </c>
      <c r="Y14" s="498">
        <f t="shared" si="0"/>
        <v>4002</v>
      </c>
      <c r="Z14" s="255"/>
      <c r="AA14" s="520">
        <f>AA10+AA13</f>
        <v>702</v>
      </c>
      <c r="AB14" s="240">
        <f>AB10+AB13</f>
        <v>882</v>
      </c>
      <c r="AC14" s="240">
        <f>AC10+AC13</f>
        <v>838</v>
      </c>
      <c r="AD14" s="240">
        <f>AD10+AD13</f>
        <v>798</v>
      </c>
      <c r="AE14" s="255"/>
      <c r="AF14" s="523">
        <f>AF10+AF13</f>
        <v>3220</v>
      </c>
    </row>
    <row r="15" spans="1:32" s="205" customFormat="1" ht="12" customHeight="1">
      <c r="A15" s="251" t="s">
        <v>50</v>
      </c>
      <c r="B15" s="4"/>
      <c r="C15" s="243">
        <v>-30</v>
      </c>
      <c r="D15" s="244">
        <v>-32</v>
      </c>
      <c r="E15" s="244">
        <v>-27</v>
      </c>
      <c r="F15" s="244">
        <v>-31</v>
      </c>
      <c r="G15" s="244">
        <v>-120</v>
      </c>
      <c r="H15" s="4"/>
      <c r="I15" s="243">
        <v>-31</v>
      </c>
      <c r="J15" s="244">
        <f>-58-I15</f>
        <v>-27</v>
      </c>
      <c r="K15" s="244">
        <f>-85-J15-I15</f>
        <v>-27</v>
      </c>
      <c r="L15" s="244">
        <f>M15-K15-J15-I15</f>
        <v>-30</v>
      </c>
      <c r="M15" s="244">
        <v>-115</v>
      </c>
      <c r="N15" s="245"/>
      <c r="O15" s="243">
        <v>-25</v>
      </c>
      <c r="P15" s="244">
        <f>-50-O15</f>
        <v>-25</v>
      </c>
      <c r="Q15" s="244">
        <f>-85-P15-O15</f>
        <v>-35</v>
      </c>
      <c r="R15" s="244">
        <f>S15-Q15-P15-O15</f>
        <v>-41</v>
      </c>
      <c r="S15" s="246">
        <v>-126</v>
      </c>
      <c r="U15" s="243">
        <v>-26</v>
      </c>
      <c r="V15" s="244">
        <v>-30</v>
      </c>
      <c r="W15" s="244">
        <v>-27</v>
      </c>
      <c r="X15" s="244">
        <v>-29</v>
      </c>
      <c r="Y15" s="499">
        <f t="shared" si="0"/>
        <v>-112</v>
      </c>
      <c r="Z15" s="258"/>
      <c r="AA15" s="522">
        <v>-24</v>
      </c>
      <c r="AB15" s="246">
        <v>-28</v>
      </c>
      <c r="AC15" s="246">
        <v>-29</v>
      </c>
      <c r="AD15" s="246">
        <v>-34</v>
      </c>
      <c r="AE15" s="258"/>
      <c r="AF15" s="521">
        <v>-115</v>
      </c>
    </row>
    <row r="16" spans="1:32" s="205" customFormat="1" ht="12" customHeight="1">
      <c r="A16" s="251" t="s">
        <v>51</v>
      </c>
      <c r="B16" s="4"/>
      <c r="C16" s="243">
        <v>-172</v>
      </c>
      <c r="D16" s="244">
        <v>-166</v>
      </c>
      <c r="E16" s="244">
        <v>-173</v>
      </c>
      <c r="F16" s="244">
        <v>-224</v>
      </c>
      <c r="G16" s="244">
        <v>-735</v>
      </c>
      <c r="H16" s="4"/>
      <c r="I16" s="243">
        <v>-135</v>
      </c>
      <c r="J16" s="244">
        <f>-317-I16</f>
        <v>-182</v>
      </c>
      <c r="K16" s="244">
        <f>-489-J16-I16</f>
        <v>-172</v>
      </c>
      <c r="L16" s="244">
        <f>M16-K16-J16-I16</f>
        <v>-242</v>
      </c>
      <c r="M16" s="244">
        <v>-731</v>
      </c>
      <c r="N16" s="245"/>
      <c r="O16" s="252">
        <v>-140</v>
      </c>
      <c r="P16" s="253">
        <f>-338-O16</f>
        <v>-198</v>
      </c>
      <c r="Q16" s="253">
        <f>-534-P16-O16</f>
        <v>-196</v>
      </c>
      <c r="R16" s="253">
        <f>S16-Q16-P16-O16</f>
        <v>-227</v>
      </c>
      <c r="S16" s="246">
        <v>-761</v>
      </c>
      <c r="U16" s="252">
        <v>-150</v>
      </c>
      <c r="V16" s="253">
        <v>-189</v>
      </c>
      <c r="W16" s="253">
        <v>-199</v>
      </c>
      <c r="X16" s="253">
        <v>-227</v>
      </c>
      <c r="Y16" s="499">
        <f t="shared" si="0"/>
        <v>-765</v>
      </c>
      <c r="Z16" s="258"/>
      <c r="AA16" s="522">
        <v>-158</v>
      </c>
      <c r="AB16" s="246">
        <v>-208</v>
      </c>
      <c r="AC16" s="246">
        <v>-207</v>
      </c>
      <c r="AD16" s="246">
        <v>-235</v>
      </c>
      <c r="AE16" s="258"/>
      <c r="AF16" s="523">
        <v>-808</v>
      </c>
    </row>
    <row r="17" spans="1:32" s="205" customFormat="1" ht="12" customHeight="1">
      <c r="A17" s="250" t="s">
        <v>166</v>
      </c>
      <c r="B17" s="136"/>
      <c r="C17" s="237">
        <f>C14+C15+C16</f>
        <v>776</v>
      </c>
      <c r="D17" s="238">
        <f>D14+D15+D16</f>
        <v>824</v>
      </c>
      <c r="E17" s="238">
        <f>E14+E15+E16</f>
        <v>902</v>
      </c>
      <c r="F17" s="238">
        <f>F14+F15+F16</f>
        <v>1011</v>
      </c>
      <c r="G17" s="238">
        <f>G14+G15+G16</f>
        <v>3513</v>
      </c>
      <c r="H17" s="136"/>
      <c r="I17" s="237">
        <f>I14+I15+I16</f>
        <v>869</v>
      </c>
      <c r="J17" s="238">
        <f>J14+J15+J16</f>
        <v>1066</v>
      </c>
      <c r="K17" s="238">
        <f>K14+K15+K16</f>
        <v>662</v>
      </c>
      <c r="L17" s="238">
        <f>L14+L15+L16</f>
        <v>687</v>
      </c>
      <c r="M17" s="238">
        <f>M14+M15+M16</f>
        <v>3284</v>
      </c>
      <c r="N17" s="239"/>
      <c r="O17" s="254">
        <f>O14+O15+O16</f>
        <v>459</v>
      </c>
      <c r="P17" s="255">
        <f>P14+P15+P16</f>
        <v>553</v>
      </c>
      <c r="Q17" s="255">
        <f>Q14+Q15+Q16</f>
        <v>682</v>
      </c>
      <c r="R17" s="255">
        <f>R14+R15+R16</f>
        <v>901</v>
      </c>
      <c r="S17" s="240">
        <f>S14+S15+S16</f>
        <v>2595</v>
      </c>
      <c r="U17" s="254">
        <f>U14+U15+U16</f>
        <v>1065</v>
      </c>
      <c r="V17" s="255">
        <f>V14+V15+V16</f>
        <v>670</v>
      </c>
      <c r="W17" s="255">
        <f>W14+W15+W16</f>
        <v>712</v>
      </c>
      <c r="X17" s="255">
        <v>678</v>
      </c>
      <c r="Y17" s="498">
        <f t="shared" si="0"/>
        <v>3125</v>
      </c>
      <c r="Z17" s="255"/>
      <c r="AA17" s="520">
        <f>AA14+AA15+AA16</f>
        <v>520</v>
      </c>
      <c r="AB17" s="240">
        <f>AB14+AB15+AB16</f>
        <v>646</v>
      </c>
      <c r="AC17" s="240">
        <f>AC14+AC15+AC16</f>
        <v>602</v>
      </c>
      <c r="AD17" s="240">
        <f>AD14+AD15+AD16</f>
        <v>529</v>
      </c>
      <c r="AE17" s="255"/>
      <c r="AF17" s="524">
        <f>AF14+AF15+AF16</f>
        <v>2297</v>
      </c>
    </row>
    <row r="18" spans="1:32" s="241" customFormat="1" ht="12" customHeight="1">
      <c r="A18" s="247" t="s">
        <v>60</v>
      </c>
      <c r="B18" s="7"/>
      <c r="C18" s="237">
        <f>SUM(C19:C25)</f>
        <v>-58</v>
      </c>
      <c r="D18" s="238">
        <f>-54-C18</f>
        <v>4</v>
      </c>
      <c r="E18" s="238">
        <f>SUM(E20:E25)</f>
        <v>51</v>
      </c>
      <c r="F18" s="238">
        <f>SUM(F19:F25)</f>
        <v>35</v>
      </c>
      <c r="G18" s="238">
        <v>32</v>
      </c>
      <c r="H18" s="7"/>
      <c r="I18" s="237">
        <f>SUM(I19:I25)</f>
        <v>-79</v>
      </c>
      <c r="J18" s="238">
        <f>-12-I18</f>
        <v>67</v>
      </c>
      <c r="K18" s="238">
        <v>-95</v>
      </c>
      <c r="L18" s="238">
        <v>-4957</v>
      </c>
      <c r="M18" s="238">
        <v>-5064</v>
      </c>
      <c r="N18" s="239"/>
      <c r="O18" s="237">
        <v>-162</v>
      </c>
      <c r="P18" s="238">
        <f>161-O18</f>
        <v>323</v>
      </c>
      <c r="Q18" s="238">
        <v>-81</v>
      </c>
      <c r="R18" s="238">
        <v>-5509</v>
      </c>
      <c r="S18" s="240">
        <v>-5429</v>
      </c>
      <c r="U18" s="237">
        <f>U19+U20+U21+U23+U25</f>
        <v>-270</v>
      </c>
      <c r="V18" s="238">
        <f>V19+V20+V21+V23+V25</f>
        <v>-327</v>
      </c>
      <c r="W18" s="238">
        <f>W19+W20+W21+W23+W25</f>
        <v>-92</v>
      </c>
      <c r="X18" s="238">
        <v>-1315</v>
      </c>
      <c r="Y18" s="498">
        <f t="shared" si="0"/>
        <v>-2004</v>
      </c>
      <c r="Z18" s="255"/>
      <c r="AA18" s="520">
        <f>AA19+AA20+AA21+AA22+AA23+AA24+AA25</f>
        <v>83</v>
      </c>
      <c r="AB18" s="240">
        <f>AB19+AB20+AB21+AB22+AB23+AB24+AB25</f>
        <v>625</v>
      </c>
      <c r="AC18" s="240">
        <f>AC19+AC20+AC21+AC22+AC23+AC24+AC25</f>
        <v>-49</v>
      </c>
      <c r="AD18" s="240">
        <f>AD19+AD20+AD21+AD22+AD23+AD24+AD25</f>
        <v>490</v>
      </c>
      <c r="AE18" s="255"/>
      <c r="AF18" s="525">
        <f>AF19+AF20+AF21+AF22+AF23+AF24+AF25</f>
        <v>1149</v>
      </c>
    </row>
    <row r="19" spans="1:32" s="205" customFormat="1" ht="12" customHeight="1">
      <c r="A19" s="647" t="s">
        <v>167</v>
      </c>
      <c r="B19" s="4"/>
      <c r="C19" s="256" t="s">
        <v>15</v>
      </c>
      <c r="D19" s="257" t="s">
        <v>15</v>
      </c>
      <c r="E19" s="257" t="s">
        <v>15</v>
      </c>
      <c r="F19" s="258">
        <v>-32</v>
      </c>
      <c r="G19" s="258">
        <v>-32</v>
      </c>
      <c r="H19" s="4"/>
      <c r="I19" s="256" t="s">
        <v>15</v>
      </c>
      <c r="J19" s="257" t="s">
        <v>15</v>
      </c>
      <c r="K19" s="258">
        <v>-194</v>
      </c>
      <c r="L19" s="258">
        <v>-5074</v>
      </c>
      <c r="M19" s="258">
        <v>-5268</v>
      </c>
      <c r="N19" s="245"/>
      <c r="O19" s="243">
        <v>-57</v>
      </c>
      <c r="P19" s="244">
        <v>0</v>
      </c>
      <c r="Q19" s="244">
        <v>0</v>
      </c>
      <c r="R19" s="244">
        <v>-6140</v>
      </c>
      <c r="S19" s="246">
        <f>SUM(O19:R19)</f>
        <v>-6197</v>
      </c>
      <c r="U19" s="243">
        <v>0</v>
      </c>
      <c r="V19" s="244">
        <v>0</v>
      </c>
      <c r="W19" s="244">
        <v>0</v>
      </c>
      <c r="X19" s="244">
        <v>-936</v>
      </c>
      <c r="Y19" s="499">
        <f t="shared" si="0"/>
        <v>-936</v>
      </c>
      <c r="Z19" s="258"/>
      <c r="AA19" s="655">
        <v>49</v>
      </c>
      <c r="AB19" s="656">
        <v>94</v>
      </c>
      <c r="AC19" s="656">
        <v>18</v>
      </c>
      <c r="AD19" s="246">
        <v>473</v>
      </c>
      <c r="AE19" s="258"/>
      <c r="AF19" s="523">
        <v>634</v>
      </c>
    </row>
    <row r="20" spans="1:32" s="205" customFormat="1" ht="22.5" customHeight="1">
      <c r="A20" s="647" t="s">
        <v>168</v>
      </c>
      <c r="B20" s="4"/>
      <c r="C20" s="252">
        <v>-1</v>
      </c>
      <c r="D20" s="253">
        <v>-4</v>
      </c>
      <c r="E20" s="253">
        <v>63</v>
      </c>
      <c r="F20" s="253">
        <v>99</v>
      </c>
      <c r="G20" s="253">
        <v>157</v>
      </c>
      <c r="H20" s="4"/>
      <c r="I20" s="252">
        <v>148</v>
      </c>
      <c r="J20" s="253">
        <v>-96</v>
      </c>
      <c r="K20" s="253">
        <v>8</v>
      </c>
      <c r="L20" s="253">
        <v>99</v>
      </c>
      <c r="M20" s="253">
        <v>159</v>
      </c>
      <c r="N20" s="245"/>
      <c r="O20" s="243">
        <v>-306</v>
      </c>
      <c r="P20" s="244">
        <v>399</v>
      </c>
      <c r="Q20" s="244">
        <v>-256</v>
      </c>
      <c r="R20" s="244">
        <v>645</v>
      </c>
      <c r="S20" s="246">
        <f>SUM(O20:R20)</f>
        <v>482</v>
      </c>
      <c r="U20" s="243">
        <v>-425</v>
      </c>
      <c r="V20" s="244">
        <v>-410</v>
      </c>
      <c r="W20" s="244">
        <v>-64</v>
      </c>
      <c r="X20" s="244">
        <v>-280</v>
      </c>
      <c r="Y20" s="499">
        <f t="shared" si="0"/>
        <v>-1179</v>
      </c>
      <c r="Z20" s="258"/>
      <c r="AA20" s="522">
        <v>-124</v>
      </c>
      <c r="AB20" s="246">
        <v>451</v>
      </c>
      <c r="AC20" s="246">
        <v>-103</v>
      </c>
      <c r="AD20" s="246">
        <v>162</v>
      </c>
      <c r="AE20" s="258"/>
      <c r="AF20" s="523">
        <v>386</v>
      </c>
    </row>
    <row r="21" spans="1:32" s="205" customFormat="1" ht="12" customHeight="1">
      <c r="A21" s="242" t="s">
        <v>169</v>
      </c>
      <c r="B21" s="4"/>
      <c r="C21" s="252">
        <v>5</v>
      </c>
      <c r="D21" s="253">
        <v>11</v>
      </c>
      <c r="E21" s="253">
        <v>11</v>
      </c>
      <c r="F21" s="253">
        <v>21</v>
      </c>
      <c r="G21" s="253">
        <v>48</v>
      </c>
      <c r="H21" s="4"/>
      <c r="I21" s="252">
        <v>33</v>
      </c>
      <c r="J21" s="253">
        <v>46</v>
      </c>
      <c r="K21" s="253">
        <v>65</v>
      </c>
      <c r="L21" s="253">
        <v>82</v>
      </c>
      <c r="M21" s="253">
        <v>226</v>
      </c>
      <c r="N21" s="245"/>
      <c r="O21" s="243">
        <v>79</v>
      </c>
      <c r="P21" s="244">
        <v>91</v>
      </c>
      <c r="Q21" s="244">
        <v>84</v>
      </c>
      <c r="R21" s="244">
        <v>122</v>
      </c>
      <c r="S21" s="246">
        <f>SUM(O21:R21)</f>
        <v>376</v>
      </c>
      <c r="U21" s="243">
        <v>96</v>
      </c>
      <c r="V21" s="244">
        <v>85</v>
      </c>
      <c r="W21" s="244">
        <v>64</v>
      </c>
      <c r="X21" s="244">
        <v>55</v>
      </c>
      <c r="Y21" s="499">
        <f t="shared" si="0"/>
        <v>300</v>
      </c>
      <c r="Z21" s="258"/>
      <c r="AA21" s="522">
        <v>0</v>
      </c>
      <c r="AB21" s="246">
        <v>0</v>
      </c>
      <c r="AC21" s="246">
        <v>0</v>
      </c>
      <c r="AD21" s="246">
        <v>0</v>
      </c>
      <c r="AE21" s="258"/>
      <c r="AF21" s="521">
        <v>0</v>
      </c>
    </row>
    <row r="22" spans="1:32" s="205" customFormat="1" ht="12" customHeight="1">
      <c r="A22" s="242" t="s">
        <v>170</v>
      </c>
      <c r="B22" s="4"/>
      <c r="C22" s="252">
        <v>0</v>
      </c>
      <c r="D22" s="253">
        <v>0</v>
      </c>
      <c r="E22" s="253">
        <v>0</v>
      </c>
      <c r="F22" s="253">
        <v>0</v>
      </c>
      <c r="G22" s="253">
        <v>0</v>
      </c>
      <c r="H22" s="4"/>
      <c r="I22" s="252">
        <v>0</v>
      </c>
      <c r="J22" s="253">
        <v>0</v>
      </c>
      <c r="K22" s="253">
        <v>0</v>
      </c>
      <c r="L22" s="253">
        <v>0</v>
      </c>
      <c r="M22" s="253">
        <v>0</v>
      </c>
      <c r="N22" s="245"/>
      <c r="O22" s="243">
        <v>0</v>
      </c>
      <c r="P22" s="244">
        <v>0</v>
      </c>
      <c r="Q22" s="244">
        <v>0</v>
      </c>
      <c r="R22" s="244">
        <v>0</v>
      </c>
      <c r="S22" s="246">
        <v>0</v>
      </c>
      <c r="U22" s="243">
        <v>0</v>
      </c>
      <c r="V22" s="244">
        <v>0</v>
      </c>
      <c r="W22" s="244">
        <v>0</v>
      </c>
      <c r="X22" s="244">
        <v>0</v>
      </c>
      <c r="Y22" s="499">
        <f t="shared" si="0"/>
        <v>0</v>
      </c>
      <c r="Z22" s="258"/>
      <c r="AA22" s="522">
        <v>57</v>
      </c>
      <c r="AB22" s="246">
        <v>69</v>
      </c>
      <c r="AC22" s="246">
        <v>62</v>
      </c>
      <c r="AD22" s="246">
        <v>56</v>
      </c>
      <c r="AE22" s="258"/>
      <c r="AF22" s="521">
        <v>244</v>
      </c>
    </row>
    <row r="23" spans="1:32" s="205" customFormat="1" ht="12" customHeight="1">
      <c r="A23" s="242" t="s">
        <v>63</v>
      </c>
      <c r="B23" s="4"/>
      <c r="C23" s="252">
        <v>-70</v>
      </c>
      <c r="D23" s="253">
        <v>-34</v>
      </c>
      <c r="E23" s="253">
        <v>-5</v>
      </c>
      <c r="F23" s="253">
        <v>-70</v>
      </c>
      <c r="G23" s="253">
        <v>-179</v>
      </c>
      <c r="H23" s="4"/>
      <c r="I23" s="252">
        <v>-252</v>
      </c>
      <c r="J23" s="253">
        <v>59</v>
      </c>
      <c r="K23" s="253">
        <v>27</v>
      </c>
      <c r="L23" s="253">
        <v>-36</v>
      </c>
      <c r="M23" s="253">
        <v>-202</v>
      </c>
      <c r="N23" s="245"/>
      <c r="O23" s="243">
        <v>130</v>
      </c>
      <c r="P23" s="244">
        <v>-186</v>
      </c>
      <c r="Q23" s="244">
        <v>82</v>
      </c>
      <c r="R23" s="244">
        <v>-102</v>
      </c>
      <c r="S23" s="246">
        <f>SUM(O23:R23)</f>
        <v>-76</v>
      </c>
      <c r="U23" s="243">
        <v>70</v>
      </c>
      <c r="V23" s="244">
        <v>-2</v>
      </c>
      <c r="W23" s="244">
        <v>-110</v>
      </c>
      <c r="X23" s="244">
        <v>-171</v>
      </c>
      <c r="Y23" s="499">
        <f t="shared" si="0"/>
        <v>-213</v>
      </c>
      <c r="Z23" s="258"/>
      <c r="AA23" s="522">
        <v>-22</v>
      </c>
      <c r="AB23" s="246">
        <v>-6</v>
      </c>
      <c r="AC23" s="246">
        <v>-59</v>
      </c>
      <c r="AD23" s="246">
        <v>-49</v>
      </c>
      <c r="AE23" s="258"/>
      <c r="AF23" s="521">
        <v>-136</v>
      </c>
    </row>
    <row r="24" spans="1:32" s="205" customFormat="1" ht="22.5" customHeight="1">
      <c r="A24" s="242" t="s">
        <v>171</v>
      </c>
      <c r="B24" s="4"/>
      <c r="C24" s="252" t="s">
        <v>29</v>
      </c>
      <c r="D24" s="253" t="s">
        <v>29</v>
      </c>
      <c r="E24" s="253" t="s">
        <v>29</v>
      </c>
      <c r="F24" s="253" t="s">
        <v>29</v>
      </c>
      <c r="G24" s="253" t="s">
        <v>29</v>
      </c>
      <c r="H24" s="4"/>
      <c r="I24" s="252" t="s">
        <v>29</v>
      </c>
      <c r="J24" s="253" t="s">
        <v>29</v>
      </c>
      <c r="K24" s="253" t="s">
        <v>29</v>
      </c>
      <c r="L24" s="253" t="s">
        <v>29</v>
      </c>
      <c r="M24" s="253" t="s">
        <v>29</v>
      </c>
      <c r="N24" s="245"/>
      <c r="O24" s="243" t="s">
        <v>29</v>
      </c>
      <c r="P24" s="244" t="s">
        <v>29</v>
      </c>
      <c r="Q24" s="244" t="s">
        <v>29</v>
      </c>
      <c r="R24" s="244" t="s">
        <v>29</v>
      </c>
      <c r="S24" s="246" t="s">
        <v>29</v>
      </c>
      <c r="U24" s="243" t="s">
        <v>29</v>
      </c>
      <c r="V24" s="244" t="s">
        <v>29</v>
      </c>
      <c r="W24" s="244" t="s">
        <v>29</v>
      </c>
      <c r="X24" s="244" t="s">
        <v>29</v>
      </c>
      <c r="Y24" s="499" t="s">
        <v>29</v>
      </c>
      <c r="Z24" s="258"/>
      <c r="AA24" s="522">
        <v>113</v>
      </c>
      <c r="AB24" s="246">
        <v>-72</v>
      </c>
      <c r="AC24" s="246">
        <v>11</v>
      </c>
      <c r="AD24" s="246">
        <v>-115</v>
      </c>
      <c r="AE24" s="258"/>
      <c r="AF24" s="521">
        <v>-63</v>
      </c>
    </row>
    <row r="25" spans="1:32" s="205" customFormat="1" ht="12" customHeight="1">
      <c r="A25" s="647" t="s">
        <v>55</v>
      </c>
      <c r="B25" s="4"/>
      <c r="C25" s="252">
        <v>8</v>
      </c>
      <c r="D25" s="253">
        <v>31</v>
      </c>
      <c r="E25" s="253">
        <v>-18</v>
      </c>
      <c r="F25" s="253">
        <v>17</v>
      </c>
      <c r="G25" s="253">
        <v>38</v>
      </c>
      <c r="H25" s="4"/>
      <c r="I25" s="252">
        <v>-8</v>
      </c>
      <c r="J25" s="253">
        <v>58</v>
      </c>
      <c r="K25" s="253">
        <v>-1</v>
      </c>
      <c r="L25" s="253">
        <v>-28</v>
      </c>
      <c r="M25" s="253">
        <v>21</v>
      </c>
      <c r="N25" s="245"/>
      <c r="O25" s="243">
        <v>-8</v>
      </c>
      <c r="P25" s="244">
        <v>19</v>
      </c>
      <c r="Q25" s="244">
        <v>9</v>
      </c>
      <c r="R25" s="244">
        <v>-34</v>
      </c>
      <c r="S25" s="246">
        <f>SUM(O25:R25)</f>
        <v>-14</v>
      </c>
      <c r="U25" s="243">
        <v>-11</v>
      </c>
      <c r="V25" s="244">
        <v>0</v>
      </c>
      <c r="W25" s="244">
        <v>18</v>
      </c>
      <c r="X25" s="244">
        <v>17</v>
      </c>
      <c r="Y25" s="499">
        <f t="shared" si="0"/>
        <v>24</v>
      </c>
      <c r="Z25" s="258"/>
      <c r="AA25" s="522">
        <f>175-49-3-113</f>
        <v>10</v>
      </c>
      <c r="AB25" s="246">
        <v>89</v>
      </c>
      <c r="AC25" s="246">
        <v>22</v>
      </c>
      <c r="AD25" s="246">
        <v>-37</v>
      </c>
      <c r="AE25" s="258"/>
      <c r="AF25" s="521">
        <v>84</v>
      </c>
    </row>
    <row r="26" spans="1:32" s="241" customFormat="1" ht="12" customHeight="1">
      <c r="A26" s="247" t="s">
        <v>64</v>
      </c>
      <c r="B26" s="7"/>
      <c r="C26" s="237">
        <v>-6</v>
      </c>
      <c r="D26" s="238">
        <f>-15-C26</f>
        <v>-9</v>
      </c>
      <c r="E26" s="238">
        <v>-81</v>
      </c>
      <c r="F26" s="238">
        <f>G26+96</f>
        <v>-87</v>
      </c>
      <c r="G26" s="238">
        <v>-183</v>
      </c>
      <c r="H26" s="7"/>
      <c r="I26" s="237">
        <v>-85</v>
      </c>
      <c r="J26" s="238">
        <f>-42-I26</f>
        <v>43</v>
      </c>
      <c r="K26" s="238">
        <v>-46</v>
      </c>
      <c r="L26" s="238">
        <v>-70</v>
      </c>
      <c r="M26" s="238">
        <f>SUM(I26:L26)</f>
        <v>-158</v>
      </c>
      <c r="N26" s="239"/>
      <c r="O26" s="248">
        <v>235</v>
      </c>
      <c r="P26" s="249">
        <f>-141-O26</f>
        <v>-376</v>
      </c>
      <c r="Q26" s="249">
        <v>199</v>
      </c>
      <c r="R26" s="249">
        <v>-599</v>
      </c>
      <c r="S26" s="240">
        <v>-541</v>
      </c>
      <c r="U26" s="248">
        <f>U27+U28+U29+U30+U31</f>
        <v>309</v>
      </c>
      <c r="V26" s="249">
        <f>V27+V28+V29+V30+V31</f>
        <v>382</v>
      </c>
      <c r="W26" s="249">
        <f>W27+W28+W29+W30+W31</f>
        <v>53</v>
      </c>
      <c r="X26" s="249">
        <v>289</v>
      </c>
      <c r="Y26" s="498">
        <f t="shared" si="0"/>
        <v>1033</v>
      </c>
      <c r="Z26" s="255"/>
      <c r="AA26" s="520">
        <f>AA27+AA28+AA29+AA30+AA31</f>
        <v>124</v>
      </c>
      <c r="AB26" s="240">
        <f>AB27+AB28+AB29+AB30+AB31</f>
        <v>-720</v>
      </c>
      <c r="AC26" s="240">
        <f>AC27+AC28+AC29+AC30+AC31</f>
        <v>97</v>
      </c>
      <c r="AD26" s="240">
        <f>AD27+AD28+AD29+AD30+AD31</f>
        <v>-275</v>
      </c>
      <c r="AE26" s="255"/>
      <c r="AF26" s="525">
        <f>AF27+AF28+AF29+AF30+AF31</f>
        <v>-774</v>
      </c>
    </row>
    <row r="27" spans="1:32" s="205" customFormat="1" ht="12" customHeight="1">
      <c r="A27" s="242" t="s">
        <v>67</v>
      </c>
      <c r="B27" s="4"/>
      <c r="C27" s="256">
        <v>5</v>
      </c>
      <c r="D27" s="257">
        <v>3</v>
      </c>
      <c r="E27" s="258">
        <v>-69</v>
      </c>
      <c r="F27" s="258">
        <v>-63</v>
      </c>
      <c r="G27" s="258">
        <v>-124</v>
      </c>
      <c r="H27" s="4"/>
      <c r="I27" s="259">
        <v>-62</v>
      </c>
      <c r="J27" s="258">
        <v>74</v>
      </c>
      <c r="K27" s="258">
        <v>3</v>
      </c>
      <c r="L27" s="258">
        <v>-44</v>
      </c>
      <c r="M27" s="258">
        <v>-29</v>
      </c>
      <c r="N27" s="245"/>
      <c r="O27" s="243">
        <v>276</v>
      </c>
      <c r="P27" s="244">
        <v>-344</v>
      </c>
      <c r="Q27" s="244">
        <v>246</v>
      </c>
      <c r="R27" s="244">
        <v>-576</v>
      </c>
      <c r="S27" s="246">
        <f>SUM(O27:R27)</f>
        <v>-398</v>
      </c>
      <c r="U27" s="243">
        <v>369</v>
      </c>
      <c r="V27" s="244">
        <v>443</v>
      </c>
      <c r="W27" s="244">
        <v>101</v>
      </c>
      <c r="X27" s="244">
        <v>334</v>
      </c>
      <c r="Y27" s="499">
        <f t="shared" si="0"/>
        <v>1247</v>
      </c>
      <c r="Z27" s="258"/>
      <c r="AA27" s="522">
        <v>150</v>
      </c>
      <c r="AB27" s="246">
        <v>-681</v>
      </c>
      <c r="AC27" s="246">
        <v>145</v>
      </c>
      <c r="AD27" s="246">
        <v>-206</v>
      </c>
      <c r="AE27" s="258"/>
      <c r="AF27" s="523">
        <v>-592</v>
      </c>
    </row>
    <row r="28" spans="1:32" s="205" customFormat="1" ht="12" customHeight="1">
      <c r="A28" s="242" t="s">
        <v>66</v>
      </c>
      <c r="B28" s="4"/>
      <c r="C28" s="252">
        <v>-2</v>
      </c>
      <c r="D28" s="253">
        <v>-1</v>
      </c>
      <c r="E28" s="253">
        <v>-2</v>
      </c>
      <c r="F28" s="253">
        <v>-3</v>
      </c>
      <c r="G28" s="253">
        <v>-8</v>
      </c>
      <c r="H28" s="4"/>
      <c r="I28" s="252">
        <v>-3</v>
      </c>
      <c r="J28" s="253">
        <v>-8</v>
      </c>
      <c r="K28" s="253">
        <v>-9</v>
      </c>
      <c r="L28" s="253">
        <v>-11</v>
      </c>
      <c r="M28" s="253">
        <v>-31</v>
      </c>
      <c r="N28" s="245"/>
      <c r="O28" s="243">
        <v>-12</v>
      </c>
      <c r="P28" s="244">
        <v>-15</v>
      </c>
      <c r="Q28" s="244">
        <v>-16</v>
      </c>
      <c r="R28" s="244">
        <v>-33</v>
      </c>
      <c r="S28" s="246">
        <f>SUM(O28:R28)</f>
        <v>-76</v>
      </c>
      <c r="U28" s="243">
        <v>-29</v>
      </c>
      <c r="V28" s="244">
        <v>-29</v>
      </c>
      <c r="W28" s="244">
        <v>-28</v>
      </c>
      <c r="X28" s="244">
        <v>-27</v>
      </c>
      <c r="Y28" s="499">
        <f t="shared" si="0"/>
        <v>-113</v>
      </c>
      <c r="Z28" s="258"/>
      <c r="AA28" s="522">
        <v>-24</v>
      </c>
      <c r="AB28" s="246">
        <v>-34</v>
      </c>
      <c r="AC28" s="246">
        <v>-32</v>
      </c>
      <c r="AD28" s="246">
        <v>-37</v>
      </c>
      <c r="AE28" s="258"/>
      <c r="AF28" s="521">
        <v>-127</v>
      </c>
    </row>
    <row r="29" spans="1:32" s="205" customFormat="1" ht="12" customHeight="1">
      <c r="A29" s="242" t="s">
        <v>172</v>
      </c>
      <c r="B29" s="57"/>
      <c r="C29" s="260" t="s">
        <v>15</v>
      </c>
      <c r="D29" s="261">
        <v>-1</v>
      </c>
      <c r="E29" s="261" t="s">
        <v>15</v>
      </c>
      <c r="F29" s="261">
        <v>-13</v>
      </c>
      <c r="G29" s="262">
        <v>-14</v>
      </c>
      <c r="H29" s="4"/>
      <c r="I29" s="252">
        <v>-11</v>
      </c>
      <c r="J29" s="253">
        <v>-11</v>
      </c>
      <c r="K29" s="253">
        <v>-19</v>
      </c>
      <c r="L29" s="253">
        <v>-7</v>
      </c>
      <c r="M29" s="253">
        <v>-48</v>
      </c>
      <c r="N29" s="245"/>
      <c r="O29" s="243">
        <v>-10</v>
      </c>
      <c r="P29" s="244">
        <v>-7</v>
      </c>
      <c r="Q29" s="244">
        <v>-20</v>
      </c>
      <c r="R29" s="244">
        <v>-8</v>
      </c>
      <c r="S29" s="246">
        <f>SUM(O29:R29)</f>
        <v>-45</v>
      </c>
      <c r="U29" s="243">
        <v>-7</v>
      </c>
      <c r="V29" s="244">
        <v>-7</v>
      </c>
      <c r="W29" s="244">
        <v>-6</v>
      </c>
      <c r="X29" s="244">
        <v>-8</v>
      </c>
      <c r="Y29" s="499">
        <f t="shared" si="0"/>
        <v>-28</v>
      </c>
      <c r="Z29" s="258"/>
      <c r="AA29" s="522">
        <v>-6</v>
      </c>
      <c r="AB29" s="246">
        <v>-6</v>
      </c>
      <c r="AC29" s="246">
        <v>-6</v>
      </c>
      <c r="AD29" s="246">
        <v>-5</v>
      </c>
      <c r="AE29" s="258"/>
      <c r="AF29" s="524">
        <v>-23</v>
      </c>
    </row>
    <row r="30" spans="1:32" s="205" customFormat="1" ht="12" customHeight="1">
      <c r="A30" s="242" t="s">
        <v>65</v>
      </c>
      <c r="B30" s="4"/>
      <c r="C30" s="263" t="s">
        <v>15</v>
      </c>
      <c r="D30" s="264" t="s">
        <v>15</v>
      </c>
      <c r="E30" s="264" t="s">
        <v>15</v>
      </c>
      <c r="F30" s="264" t="s">
        <v>15</v>
      </c>
      <c r="G30" s="253">
        <v>0</v>
      </c>
      <c r="H30" s="4"/>
      <c r="I30" s="263">
        <v>0</v>
      </c>
      <c r="J30" s="253">
        <v>-2</v>
      </c>
      <c r="K30" s="253">
        <v>-11</v>
      </c>
      <c r="L30" s="253">
        <v>1</v>
      </c>
      <c r="M30" s="253">
        <v>-12</v>
      </c>
      <c r="N30" s="245"/>
      <c r="O30" s="243">
        <v>-8</v>
      </c>
      <c r="P30" s="244">
        <v>-2</v>
      </c>
      <c r="Q30" s="244">
        <v>-1</v>
      </c>
      <c r="R30" s="244">
        <v>28</v>
      </c>
      <c r="S30" s="246">
        <f>SUM(O30:R30)</f>
        <v>17</v>
      </c>
      <c r="U30" s="243">
        <v>-13</v>
      </c>
      <c r="V30" s="244">
        <v>-14</v>
      </c>
      <c r="W30" s="244">
        <v>-3</v>
      </c>
      <c r="X30" s="244">
        <v>0</v>
      </c>
      <c r="Y30" s="499">
        <f t="shared" si="0"/>
        <v>-30</v>
      </c>
      <c r="Z30" s="258"/>
      <c r="AA30" s="522">
        <v>15</v>
      </c>
      <c r="AB30" s="246">
        <v>11</v>
      </c>
      <c r="AC30" s="246">
        <v>2</v>
      </c>
      <c r="AD30" s="246">
        <v>-17</v>
      </c>
      <c r="AE30" s="258"/>
      <c r="AF30" s="521">
        <v>11</v>
      </c>
    </row>
    <row r="31" spans="1:32" s="205" customFormat="1" ht="12" customHeight="1">
      <c r="A31" s="242" t="s">
        <v>173</v>
      </c>
      <c r="B31" s="4"/>
      <c r="C31" s="259">
        <v>-9</v>
      </c>
      <c r="D31" s="258">
        <v>-10</v>
      </c>
      <c r="E31" s="258">
        <v>-10</v>
      </c>
      <c r="F31" s="258">
        <v>-8</v>
      </c>
      <c r="G31" s="258">
        <v>-37</v>
      </c>
      <c r="H31" s="4"/>
      <c r="I31" s="259">
        <v>-9</v>
      </c>
      <c r="J31" s="258">
        <v>-10</v>
      </c>
      <c r="K31" s="258">
        <v>-10</v>
      </c>
      <c r="L31" s="258">
        <v>-9</v>
      </c>
      <c r="M31" s="258">
        <v>-38</v>
      </c>
      <c r="N31" s="245"/>
      <c r="O31" s="243">
        <v>-11</v>
      </c>
      <c r="P31" s="244">
        <v>-8</v>
      </c>
      <c r="Q31" s="244">
        <v>-10</v>
      </c>
      <c r="R31" s="244">
        <v>-10</v>
      </c>
      <c r="S31" s="246">
        <f>SUM(O31:R31)</f>
        <v>-39</v>
      </c>
      <c r="U31" s="243">
        <v>-11</v>
      </c>
      <c r="V31" s="244">
        <v>-11</v>
      </c>
      <c r="W31" s="244">
        <v>-11</v>
      </c>
      <c r="X31" s="244">
        <v>-10</v>
      </c>
      <c r="Y31" s="499">
        <f t="shared" si="0"/>
        <v>-43</v>
      </c>
      <c r="Z31" s="258"/>
      <c r="AA31" s="522">
        <v>-11</v>
      </c>
      <c r="AB31" s="246">
        <v>-10</v>
      </c>
      <c r="AC31" s="246">
        <v>-12</v>
      </c>
      <c r="AD31" s="246">
        <v>-10</v>
      </c>
      <c r="AE31" s="258"/>
      <c r="AF31" s="521">
        <v>-43</v>
      </c>
    </row>
    <row r="32" spans="1:32" s="205" customFormat="1" ht="12" customHeight="1">
      <c r="A32" s="250" t="s">
        <v>174</v>
      </c>
      <c r="B32" s="136"/>
      <c r="C32" s="237">
        <f>C17+C18+C26</f>
        <v>712</v>
      </c>
      <c r="D32" s="238">
        <f>D17+D18+D26</f>
        <v>819</v>
      </c>
      <c r="E32" s="238">
        <f>E17+E18+E26</f>
        <v>872</v>
      </c>
      <c r="F32" s="238">
        <f>F17+F18+F26</f>
        <v>959</v>
      </c>
      <c r="G32" s="238">
        <f>G17+G18+G26</f>
        <v>3362</v>
      </c>
      <c r="H32" s="136"/>
      <c r="I32" s="237">
        <f>I17+I18+I26</f>
        <v>705</v>
      </c>
      <c r="J32" s="238">
        <f>J17+J18+J26</f>
        <v>1176</v>
      </c>
      <c r="K32" s="238">
        <f>K17+K18+K26</f>
        <v>521</v>
      </c>
      <c r="L32" s="238">
        <f>L17+L18+L26</f>
        <v>-4340</v>
      </c>
      <c r="M32" s="238">
        <f>M17+M18+M26</f>
        <v>-1938</v>
      </c>
      <c r="N32" s="239"/>
      <c r="O32" s="237">
        <f>O17+O18+O26</f>
        <v>532</v>
      </c>
      <c r="P32" s="238">
        <f>P17+P18+P26</f>
        <v>500</v>
      </c>
      <c r="Q32" s="238">
        <f>Q17+Q18+Q26</f>
        <v>800</v>
      </c>
      <c r="R32" s="238">
        <f>R17+R18+R26</f>
        <v>-5207</v>
      </c>
      <c r="S32" s="240">
        <f>S26+S18+S17</f>
        <v>-3375</v>
      </c>
      <c r="U32" s="237">
        <f>U17+U18+U26</f>
        <v>1104</v>
      </c>
      <c r="V32" s="238">
        <f>V17+V18+V26</f>
        <v>725</v>
      </c>
      <c r="W32" s="238">
        <f>W17+W18+W26</f>
        <v>673</v>
      </c>
      <c r="X32" s="238">
        <v>-348</v>
      </c>
      <c r="Y32" s="498">
        <f t="shared" si="0"/>
        <v>2154</v>
      </c>
      <c r="Z32" s="255"/>
      <c r="AA32" s="520">
        <f>AA17+AA18+AA26</f>
        <v>727</v>
      </c>
      <c r="AB32" s="240">
        <f>AB17+AB18+AB26</f>
        <v>551</v>
      </c>
      <c r="AC32" s="240">
        <f>AC17+AC18+AC26</f>
        <v>650</v>
      </c>
      <c r="AD32" s="240">
        <f>AD17+AD18+AD26</f>
        <v>744</v>
      </c>
      <c r="AE32" s="255"/>
      <c r="AF32" s="525">
        <f>AF17+AF18+AF26</f>
        <v>2672</v>
      </c>
    </row>
    <row r="33" spans="1:32" s="205" customFormat="1" ht="12" customHeight="1">
      <c r="A33" s="251" t="s">
        <v>69</v>
      </c>
      <c r="B33" s="4"/>
      <c r="C33" s="243">
        <v>-205</v>
      </c>
      <c r="D33" s="244">
        <v>-207</v>
      </c>
      <c r="E33" s="244">
        <v>-243</v>
      </c>
      <c r="F33" s="244">
        <v>-293</v>
      </c>
      <c r="G33" s="244">
        <v>-948</v>
      </c>
      <c r="H33" s="4"/>
      <c r="I33" s="243">
        <v>-208</v>
      </c>
      <c r="J33" s="244">
        <v>-352</v>
      </c>
      <c r="K33" s="244">
        <v>-167</v>
      </c>
      <c r="L33" s="244">
        <v>-123</v>
      </c>
      <c r="M33" s="244">
        <v>-850</v>
      </c>
      <c r="N33" s="245"/>
      <c r="O33" s="243">
        <v>-162</v>
      </c>
      <c r="P33" s="244">
        <v>-202</v>
      </c>
      <c r="Q33" s="244">
        <v>-186</v>
      </c>
      <c r="R33" s="244">
        <v>-160</v>
      </c>
      <c r="S33" s="246">
        <v>-710</v>
      </c>
      <c r="U33" s="243">
        <v>-299</v>
      </c>
      <c r="V33" s="244">
        <v>-220</v>
      </c>
      <c r="W33" s="244">
        <v>-133</v>
      </c>
      <c r="X33" s="244">
        <v>-179</v>
      </c>
      <c r="Y33" s="499">
        <f t="shared" si="0"/>
        <v>-831</v>
      </c>
      <c r="Z33" s="258"/>
      <c r="AA33" s="522">
        <v>-197</v>
      </c>
      <c r="AB33" s="246">
        <v>-94</v>
      </c>
      <c r="AC33" s="246">
        <v>-207</v>
      </c>
      <c r="AD33" s="246">
        <v>-149</v>
      </c>
      <c r="AE33" s="258"/>
      <c r="AF33" s="526">
        <v>-647</v>
      </c>
    </row>
    <row r="34" spans="1:32" s="205" customFormat="1" ht="12" customHeight="1">
      <c r="A34" s="265" t="s">
        <v>175</v>
      </c>
      <c r="B34" s="266"/>
      <c r="C34" s="248">
        <f>C32+C33</f>
        <v>507</v>
      </c>
      <c r="D34" s="249">
        <f>D32+D33</f>
        <v>612</v>
      </c>
      <c r="E34" s="249">
        <f>E32+E33</f>
        <v>629</v>
      </c>
      <c r="F34" s="249">
        <f>F32+F33</f>
        <v>666</v>
      </c>
      <c r="G34" s="249">
        <f>G32+G33</f>
        <v>2414</v>
      </c>
      <c r="H34" s="266"/>
      <c r="I34" s="248">
        <f>I32+I33</f>
        <v>497</v>
      </c>
      <c r="J34" s="249">
        <f>J32+J33</f>
        <v>824</v>
      </c>
      <c r="K34" s="249">
        <f>K32+K33</f>
        <v>354</v>
      </c>
      <c r="L34" s="249">
        <f>L32+L33</f>
        <v>-4463</v>
      </c>
      <c r="M34" s="249">
        <f>M32+M33</f>
        <v>-2788</v>
      </c>
      <c r="N34" s="239"/>
      <c r="O34" s="248">
        <f>O32+O33</f>
        <v>370</v>
      </c>
      <c r="P34" s="249">
        <f>P32+P33</f>
        <v>298</v>
      </c>
      <c r="Q34" s="249">
        <f>Q32+Q33</f>
        <v>614</v>
      </c>
      <c r="R34" s="249">
        <f>R32+R33</f>
        <v>-5367</v>
      </c>
      <c r="S34" s="240">
        <f>S32+S33</f>
        <v>-4085</v>
      </c>
      <c r="U34" s="493">
        <f>U32+U33</f>
        <v>805</v>
      </c>
      <c r="V34" s="423">
        <f>V32+V33</f>
        <v>505</v>
      </c>
      <c r="W34" s="423">
        <f>W32+W33</f>
        <v>540</v>
      </c>
      <c r="X34" s="423">
        <v>-527</v>
      </c>
      <c r="Y34" s="498">
        <f t="shared" si="0"/>
        <v>1323</v>
      </c>
      <c r="Z34" s="255"/>
      <c r="AA34" s="522">
        <f>AA32+AA33</f>
        <v>530</v>
      </c>
      <c r="AB34" s="246">
        <f>AB32+AB33</f>
        <v>457</v>
      </c>
      <c r="AC34" s="240">
        <f>AC32+AC33</f>
        <v>443</v>
      </c>
      <c r="AD34" s="240">
        <f>AD32+AD33</f>
        <v>595</v>
      </c>
      <c r="AE34" s="258"/>
      <c r="AF34" s="527">
        <f>AF32+AF33</f>
        <v>2025</v>
      </c>
    </row>
    <row r="35" spans="1:32" s="205" customFormat="1" ht="12" customHeight="1">
      <c r="A35" s="59"/>
      <c r="B35" s="58"/>
      <c r="C35" s="267"/>
      <c r="D35" s="268"/>
      <c r="E35" s="268"/>
      <c r="F35" s="268"/>
      <c r="G35" s="268"/>
      <c r="H35" s="4"/>
      <c r="I35" s="267"/>
      <c r="J35" s="268"/>
      <c r="K35" s="268"/>
      <c r="L35" s="268"/>
      <c r="M35" s="268"/>
      <c r="N35" s="269"/>
      <c r="O35" s="270"/>
      <c r="P35" s="269"/>
      <c r="Q35" s="269"/>
      <c r="R35" s="269"/>
      <c r="S35" s="271"/>
      <c r="U35" s="270"/>
      <c r="V35" s="269"/>
      <c r="W35" s="269"/>
      <c r="X35" s="269"/>
      <c r="Y35" s="500"/>
      <c r="Z35" s="271"/>
      <c r="AA35" s="528"/>
      <c r="AB35" s="369"/>
      <c r="AC35" s="369"/>
      <c r="AD35" s="369"/>
      <c r="AE35" s="596"/>
      <c r="AF35" s="529"/>
    </row>
    <row r="36" spans="1:32" s="205" customFormat="1" ht="12" customHeight="1">
      <c r="A36" s="272" t="s">
        <v>71</v>
      </c>
      <c r="B36" s="273"/>
      <c r="C36" s="274">
        <v>206</v>
      </c>
      <c r="D36" s="275">
        <v>213</v>
      </c>
      <c r="E36" s="275">
        <v>210</v>
      </c>
      <c r="F36" s="275">
        <v>189</v>
      </c>
      <c r="G36" s="275">
        <v>818</v>
      </c>
      <c r="H36" s="251"/>
      <c r="I36" s="274">
        <v>226</v>
      </c>
      <c r="J36" s="275">
        <v>203</v>
      </c>
      <c r="K36" s="275">
        <v>226</v>
      </c>
      <c r="L36" s="275">
        <v>220</v>
      </c>
      <c r="M36" s="275">
        <v>875</v>
      </c>
      <c r="N36" s="239"/>
      <c r="O36" s="276">
        <v>214</v>
      </c>
      <c r="P36" s="277">
        <v>237</v>
      </c>
      <c r="Q36" s="277">
        <v>249</v>
      </c>
      <c r="R36" s="277">
        <v>256</v>
      </c>
      <c r="S36" s="246">
        <v>956</v>
      </c>
      <c r="U36" s="276">
        <v>239</v>
      </c>
      <c r="V36" s="277">
        <v>257</v>
      </c>
      <c r="W36" s="277">
        <v>256</v>
      </c>
      <c r="X36" s="277">
        <v>283</v>
      </c>
      <c r="Y36" s="499">
        <v>1035</v>
      </c>
      <c r="Z36" s="258"/>
      <c r="AA36" s="522">
        <v>251</v>
      </c>
      <c r="AB36" s="246">
        <v>283</v>
      </c>
      <c r="AC36" s="246">
        <v>286</v>
      </c>
      <c r="AD36" s="246">
        <v>299</v>
      </c>
      <c r="AE36" s="258"/>
      <c r="AF36" s="521">
        <v>1119</v>
      </c>
    </row>
    <row r="37" spans="1:32" s="205" customFormat="1" ht="12" customHeight="1">
      <c r="A37" s="272" t="s">
        <v>176</v>
      </c>
      <c r="B37" s="273"/>
      <c r="C37" s="274">
        <v>982</v>
      </c>
      <c r="D37" s="275">
        <v>1037</v>
      </c>
      <c r="E37" s="275">
        <v>1112</v>
      </c>
      <c r="F37" s="275">
        <v>1200</v>
      </c>
      <c r="G37" s="275">
        <v>4331</v>
      </c>
      <c r="H37" s="251"/>
      <c r="I37" s="274">
        <v>1095</v>
      </c>
      <c r="J37" s="275">
        <v>1269</v>
      </c>
      <c r="K37" s="275">
        <v>888</v>
      </c>
      <c r="L37" s="275">
        <v>907</v>
      </c>
      <c r="M37" s="275">
        <v>4159</v>
      </c>
      <c r="N37" s="239"/>
      <c r="O37" s="276">
        <v>673</v>
      </c>
      <c r="P37" s="277">
        <v>790</v>
      </c>
      <c r="Q37" s="277">
        <v>931</v>
      </c>
      <c r="R37" s="277">
        <v>1157</v>
      </c>
      <c r="S37" s="246">
        <v>3551</v>
      </c>
      <c r="U37" s="276">
        <v>1304</v>
      </c>
      <c r="V37" s="277">
        <v>927</v>
      </c>
      <c r="W37" s="277">
        <v>968</v>
      </c>
      <c r="X37" s="277">
        <v>961</v>
      </c>
      <c r="Y37" s="499">
        <v>4160</v>
      </c>
      <c r="Z37" s="258"/>
      <c r="AA37" s="522">
        <v>771</v>
      </c>
      <c r="AB37" s="246">
        <v>929</v>
      </c>
      <c r="AC37" s="246">
        <v>888</v>
      </c>
      <c r="AD37" s="246">
        <v>828</v>
      </c>
      <c r="AE37" s="258"/>
      <c r="AF37" s="521">
        <v>3416</v>
      </c>
    </row>
    <row r="38" spans="1:32" s="205" customFormat="1" ht="36.75" customHeight="1">
      <c r="A38" s="251" t="s">
        <v>177</v>
      </c>
      <c r="B38" s="4"/>
      <c r="C38" s="274">
        <v>982</v>
      </c>
      <c r="D38" s="275">
        <v>1041</v>
      </c>
      <c r="E38" s="275">
        <v>1163</v>
      </c>
      <c r="F38" s="275">
        <v>1235</v>
      </c>
      <c r="G38" s="275">
        <v>4331</v>
      </c>
      <c r="H38" s="251"/>
      <c r="I38" s="274">
        <v>1095</v>
      </c>
      <c r="J38" s="275">
        <v>1269</v>
      </c>
      <c r="K38" s="275">
        <v>888</v>
      </c>
      <c r="L38" s="275">
        <v>911</v>
      </c>
      <c r="M38" s="275">
        <v>4163</v>
      </c>
      <c r="N38" s="239"/>
      <c r="O38" s="274">
        <v>673</v>
      </c>
      <c r="P38" s="275">
        <v>790</v>
      </c>
      <c r="Q38" s="275">
        <v>931</v>
      </c>
      <c r="R38" s="275">
        <v>1157</v>
      </c>
      <c r="S38" s="240">
        <v>3551</v>
      </c>
      <c r="U38" s="274">
        <v>1304</v>
      </c>
      <c r="V38" s="275">
        <v>927</v>
      </c>
      <c r="W38" s="275">
        <v>968</v>
      </c>
      <c r="X38" s="275">
        <v>961</v>
      </c>
      <c r="Y38" s="498">
        <v>4160</v>
      </c>
      <c r="Z38" s="255"/>
      <c r="AA38" s="520">
        <v>771</v>
      </c>
      <c r="AB38" s="240">
        <v>929</v>
      </c>
      <c r="AC38" s="240">
        <v>888</v>
      </c>
      <c r="AD38" s="240">
        <v>828</v>
      </c>
      <c r="AE38" s="255"/>
      <c r="AF38" s="521">
        <v>3416</v>
      </c>
    </row>
    <row r="39" spans="1:32" s="205" customFormat="1" ht="12" customHeight="1">
      <c r="A39" s="273"/>
      <c r="B39" s="273"/>
      <c r="C39" s="267"/>
      <c r="D39" s="268"/>
      <c r="E39" s="268"/>
      <c r="F39" s="268"/>
      <c r="G39" s="268"/>
      <c r="H39" s="4"/>
      <c r="I39" s="267"/>
      <c r="J39" s="268"/>
      <c r="K39" s="268"/>
      <c r="L39" s="268"/>
      <c r="M39" s="268"/>
      <c r="N39" s="239"/>
      <c r="O39" s="270"/>
      <c r="P39" s="269"/>
      <c r="Q39" s="269"/>
      <c r="R39" s="269"/>
      <c r="S39" s="240"/>
      <c r="U39" s="270"/>
      <c r="V39" s="269"/>
      <c r="W39" s="269"/>
      <c r="X39" s="269"/>
      <c r="Y39" s="498"/>
      <c r="Z39" s="255"/>
      <c r="AA39" s="520"/>
      <c r="AB39" s="240" t="s">
        <v>31</v>
      </c>
      <c r="AC39" s="240"/>
      <c r="AD39" s="240"/>
      <c r="AE39" s="255"/>
      <c r="AF39" s="530"/>
    </row>
    <row r="40" spans="1:32" s="205" customFormat="1" ht="12" customHeight="1">
      <c r="A40" s="272" t="s">
        <v>76</v>
      </c>
      <c r="B40" s="273"/>
      <c r="C40" s="278">
        <v>1.77</v>
      </c>
      <c r="D40" s="272">
        <v>1.82</v>
      </c>
      <c r="E40" s="272">
        <v>1.88</v>
      </c>
      <c r="F40" s="272">
        <v>1.82</v>
      </c>
      <c r="G40" s="272">
        <v>1.82</v>
      </c>
      <c r="H40" s="272"/>
      <c r="I40" s="279">
        <v>1.46</v>
      </c>
      <c r="J40" s="280">
        <v>1.52</v>
      </c>
      <c r="K40" s="280">
        <v>1.49</v>
      </c>
      <c r="L40" s="280">
        <v>1.4</v>
      </c>
      <c r="M40" s="280">
        <v>1.47</v>
      </c>
      <c r="N40" s="281"/>
      <c r="O40" s="279">
        <v>1.33</v>
      </c>
      <c r="P40" s="280">
        <v>1.32</v>
      </c>
      <c r="Q40" s="280">
        <v>1.18</v>
      </c>
      <c r="R40" s="280">
        <v>1.34</v>
      </c>
      <c r="S40" s="282">
        <v>1.3</v>
      </c>
      <c r="U40" s="279">
        <v>1.33</v>
      </c>
      <c r="V40" s="280">
        <v>1.34</v>
      </c>
      <c r="W40" s="280">
        <v>1.42</v>
      </c>
      <c r="X40" s="280">
        <v>1.84</v>
      </c>
      <c r="Y40" s="501">
        <v>1.52</v>
      </c>
      <c r="Z40" s="509"/>
      <c r="AA40" s="531" t="s">
        <v>32</v>
      </c>
      <c r="AB40" s="282">
        <v>1.96</v>
      </c>
      <c r="AC40" s="282">
        <v>1.82</v>
      </c>
      <c r="AD40" s="282">
        <v>1.79</v>
      </c>
      <c r="AE40" s="509"/>
      <c r="AF40" s="530">
        <v>1.85</v>
      </c>
    </row>
    <row r="41" spans="1:32" s="205" customFormat="1" ht="12" customHeight="1">
      <c r="A41" s="59"/>
      <c r="B41" s="58"/>
      <c r="C41" s="267"/>
      <c r="D41" s="268"/>
      <c r="E41" s="268"/>
      <c r="F41" s="268"/>
      <c r="G41" s="268"/>
      <c r="H41" s="4"/>
      <c r="I41" s="267"/>
      <c r="J41" s="268"/>
      <c r="K41" s="268"/>
      <c r="L41" s="268"/>
      <c r="M41" s="268"/>
      <c r="N41" s="269"/>
      <c r="O41" s="270"/>
      <c r="P41" s="269"/>
      <c r="Q41" s="269"/>
      <c r="R41" s="269"/>
      <c r="S41" s="271"/>
      <c r="U41" s="270"/>
      <c r="V41" s="269"/>
      <c r="W41" s="269"/>
      <c r="X41" s="269"/>
      <c r="Y41" s="502"/>
      <c r="Z41" s="424"/>
      <c r="AA41" s="532"/>
      <c r="AB41" s="438"/>
      <c r="AC41" s="438"/>
      <c r="AD41" s="438"/>
      <c r="AE41" s="269"/>
      <c r="AF41" s="510"/>
    </row>
    <row r="42" spans="1:32" s="205" customFormat="1" ht="12" customHeight="1">
      <c r="A42" s="283" t="s">
        <v>178</v>
      </c>
      <c r="B42" s="284"/>
      <c r="C42" s="285"/>
      <c r="D42" s="286"/>
      <c r="E42" s="286"/>
      <c r="F42" s="287"/>
      <c r="G42" s="287"/>
      <c r="H42" s="286"/>
      <c r="I42" s="285"/>
      <c r="J42" s="286"/>
      <c r="K42" s="286"/>
      <c r="L42" s="287"/>
      <c r="M42" s="287"/>
      <c r="N42" s="288"/>
      <c r="O42" s="289"/>
      <c r="P42" s="290"/>
      <c r="Q42" s="290"/>
      <c r="R42" s="213"/>
      <c r="S42" s="291"/>
      <c r="U42" s="289"/>
      <c r="V42" s="290"/>
      <c r="W42" s="290"/>
      <c r="X42" s="290"/>
      <c r="Y42" s="502"/>
      <c r="Z42" s="424"/>
      <c r="AA42" s="533"/>
      <c r="AB42" s="210"/>
      <c r="AC42" s="210"/>
      <c r="AD42" s="210"/>
      <c r="AE42" s="290"/>
      <c r="AF42" s="511"/>
    </row>
    <row r="43" spans="1:32" ht="11.25">
      <c r="A43" s="292" t="s">
        <v>78</v>
      </c>
      <c r="B43" s="217"/>
      <c r="C43" s="293">
        <v>206</v>
      </c>
      <c r="D43" s="294">
        <v>213</v>
      </c>
      <c r="E43" s="294">
        <v>210</v>
      </c>
      <c r="F43" s="294">
        <v>189</v>
      </c>
      <c r="G43" s="294">
        <v>818</v>
      </c>
      <c r="H43" s="295"/>
      <c r="I43" s="293">
        <v>226</v>
      </c>
      <c r="J43" s="294">
        <v>228</v>
      </c>
      <c r="K43" s="294">
        <v>234</v>
      </c>
      <c r="L43" s="294">
        <v>222</v>
      </c>
      <c r="M43" s="294">
        <v>910</v>
      </c>
      <c r="N43" s="294"/>
      <c r="O43" s="296">
        <v>243</v>
      </c>
      <c r="P43" s="297">
        <v>247</v>
      </c>
      <c r="Q43" s="297">
        <v>246</v>
      </c>
      <c r="R43" s="297">
        <v>257</v>
      </c>
      <c r="S43" s="246">
        <v>993</v>
      </c>
      <c r="U43" s="296">
        <v>269</v>
      </c>
      <c r="V43" s="297">
        <v>262</v>
      </c>
      <c r="W43" s="297">
        <v>261</v>
      </c>
      <c r="X43" s="297">
        <v>280</v>
      </c>
      <c r="Y43" s="503">
        <f>U43+V43+W43+X43</f>
        <v>1072</v>
      </c>
      <c r="Z43" s="300"/>
      <c r="AA43" s="512">
        <v>293</v>
      </c>
      <c r="AB43" s="300">
        <v>287</v>
      </c>
      <c r="AC43" s="300">
        <v>288</v>
      </c>
      <c r="AD43" s="300">
        <v>305</v>
      </c>
      <c r="AE43" s="300"/>
      <c r="AF43" s="526">
        <v>1173</v>
      </c>
    </row>
    <row r="44" spans="1:32" ht="11.25">
      <c r="A44" s="292" t="s">
        <v>79</v>
      </c>
      <c r="B44" s="217"/>
      <c r="C44" s="298">
        <v>750</v>
      </c>
      <c r="D44" s="299">
        <v>736</v>
      </c>
      <c r="E44" s="299">
        <v>752</v>
      </c>
      <c r="F44" s="299">
        <v>784</v>
      </c>
      <c r="G44" s="299">
        <v>3022</v>
      </c>
      <c r="H44" s="217"/>
      <c r="I44" s="298">
        <v>741</v>
      </c>
      <c r="J44" s="299">
        <v>711</v>
      </c>
      <c r="K44" s="299">
        <v>760</v>
      </c>
      <c r="L44" s="299">
        <v>780</v>
      </c>
      <c r="M44" s="299">
        <v>2992</v>
      </c>
      <c r="N44" s="300"/>
      <c r="O44" s="298">
        <v>698</v>
      </c>
      <c r="P44" s="299">
        <v>760</v>
      </c>
      <c r="Q44" s="299">
        <v>760</v>
      </c>
      <c r="R44" s="299">
        <v>805</v>
      </c>
      <c r="S44" s="246">
        <v>3023</v>
      </c>
      <c r="U44" s="298">
        <v>751</v>
      </c>
      <c r="V44" s="299">
        <v>813</v>
      </c>
      <c r="W44" s="299">
        <v>782</v>
      </c>
      <c r="X44" s="299">
        <v>864</v>
      </c>
      <c r="Y44" s="504">
        <f aca="true" t="shared" si="1" ref="Y44:Y59">U44+V44+W44+X44</f>
        <v>3210</v>
      </c>
      <c r="Z44" s="300"/>
      <c r="AA44" s="534">
        <v>782</v>
      </c>
      <c r="AB44" s="297">
        <v>902</v>
      </c>
      <c r="AC44" s="297">
        <v>835</v>
      </c>
      <c r="AD44" s="297">
        <v>805</v>
      </c>
      <c r="AE44" s="300"/>
      <c r="AF44" s="526">
        <v>3324</v>
      </c>
    </row>
    <row r="45" spans="1:32" ht="11.25">
      <c r="A45" s="292" t="s">
        <v>179</v>
      </c>
      <c r="B45" s="217"/>
      <c r="C45" s="298">
        <v>1496</v>
      </c>
      <c r="D45" s="299">
        <v>1413</v>
      </c>
      <c r="E45" s="299">
        <v>1543</v>
      </c>
      <c r="F45" s="299">
        <v>1418</v>
      </c>
      <c r="G45" s="299">
        <v>5870</v>
      </c>
      <c r="H45" s="217"/>
      <c r="I45" s="298">
        <v>1320</v>
      </c>
      <c r="J45" s="299">
        <v>1488</v>
      </c>
      <c r="K45" s="299">
        <v>1240</v>
      </c>
      <c r="L45" s="299">
        <v>1433</v>
      </c>
      <c r="M45" s="299">
        <v>5481</v>
      </c>
      <c r="N45" s="300"/>
      <c r="O45" s="298">
        <v>1400</v>
      </c>
      <c r="P45" s="299">
        <v>1416</v>
      </c>
      <c r="Q45" s="299">
        <v>1179</v>
      </c>
      <c r="R45" s="299">
        <v>1487</v>
      </c>
      <c r="S45" s="246">
        <v>5482</v>
      </c>
      <c r="U45" s="298">
        <v>1371</v>
      </c>
      <c r="V45" s="299">
        <v>1417</v>
      </c>
      <c r="W45" s="299">
        <v>1596</v>
      </c>
      <c r="X45" s="299">
        <v>1447</v>
      </c>
      <c r="Y45" s="504">
        <f t="shared" si="1"/>
        <v>5831</v>
      </c>
      <c r="Z45" s="300"/>
      <c r="AA45" s="534">
        <v>1405</v>
      </c>
      <c r="AB45" s="297">
        <v>1144</v>
      </c>
      <c r="AC45" s="297">
        <v>1292</v>
      </c>
      <c r="AD45" s="297">
        <v>1471</v>
      </c>
      <c r="AE45" s="300"/>
      <c r="AF45" s="526">
        <v>5312</v>
      </c>
    </row>
    <row r="46" spans="1:32" ht="11.25">
      <c r="A46" s="242" t="s">
        <v>180</v>
      </c>
      <c r="B46" s="217"/>
      <c r="C46" s="298">
        <v>952</v>
      </c>
      <c r="D46" s="299">
        <v>874</v>
      </c>
      <c r="E46" s="299">
        <v>998</v>
      </c>
      <c r="F46" s="299">
        <v>864</v>
      </c>
      <c r="G46" s="299">
        <v>3688</v>
      </c>
      <c r="H46" s="217"/>
      <c r="I46" s="298">
        <v>799</v>
      </c>
      <c r="J46" s="299">
        <v>972</v>
      </c>
      <c r="K46" s="299">
        <v>713</v>
      </c>
      <c r="L46" s="299">
        <v>868</v>
      </c>
      <c r="M46" s="299">
        <v>3352</v>
      </c>
      <c r="N46" s="300"/>
      <c r="O46" s="298">
        <v>885</v>
      </c>
      <c r="P46" s="299">
        <v>902</v>
      </c>
      <c r="Q46" s="299">
        <v>707</v>
      </c>
      <c r="R46" s="299">
        <v>975</v>
      </c>
      <c r="S46" s="246">
        <v>3469</v>
      </c>
      <c r="U46" s="298">
        <v>853</v>
      </c>
      <c r="V46" s="299">
        <v>906</v>
      </c>
      <c r="W46" s="299">
        <v>1059</v>
      </c>
      <c r="X46" s="299">
        <v>932</v>
      </c>
      <c r="Y46" s="504">
        <f t="shared" si="1"/>
        <v>3750</v>
      </c>
      <c r="Z46" s="300"/>
      <c r="AA46" s="534">
        <v>866</v>
      </c>
      <c r="AB46" s="297">
        <v>611</v>
      </c>
      <c r="AC46" s="297">
        <v>701</v>
      </c>
      <c r="AD46" s="297">
        <v>862</v>
      </c>
      <c r="AE46" s="300"/>
      <c r="AF46" s="526">
        <v>3040</v>
      </c>
    </row>
    <row r="47" spans="1:32" ht="11.25">
      <c r="A47" s="242" t="s">
        <v>181</v>
      </c>
      <c r="B47" s="217"/>
      <c r="C47" s="301">
        <v>210</v>
      </c>
      <c r="D47" s="302">
        <v>187</v>
      </c>
      <c r="E47" s="302">
        <v>204</v>
      </c>
      <c r="F47" s="302">
        <v>181</v>
      </c>
      <c r="G47" s="299">
        <v>782</v>
      </c>
      <c r="H47" s="217"/>
      <c r="I47" s="298">
        <v>178</v>
      </c>
      <c r="J47" s="299">
        <v>174</v>
      </c>
      <c r="K47" s="299">
        <v>183</v>
      </c>
      <c r="L47" s="299">
        <v>200</v>
      </c>
      <c r="M47" s="299">
        <v>735</v>
      </c>
      <c r="N47" s="300"/>
      <c r="O47" s="298">
        <v>198</v>
      </c>
      <c r="P47" s="299">
        <v>189</v>
      </c>
      <c r="Q47" s="299">
        <v>172</v>
      </c>
      <c r="R47" s="299">
        <v>186</v>
      </c>
      <c r="S47" s="246">
        <v>745</v>
      </c>
      <c r="U47" s="298">
        <v>167</v>
      </c>
      <c r="V47" s="299">
        <v>190</v>
      </c>
      <c r="W47" s="299">
        <v>222</v>
      </c>
      <c r="X47" s="299">
        <v>196</v>
      </c>
      <c r="Y47" s="504">
        <f t="shared" si="1"/>
        <v>775</v>
      </c>
      <c r="Z47" s="300"/>
      <c r="AA47" s="534">
        <v>185</v>
      </c>
      <c r="AB47" s="297">
        <v>187</v>
      </c>
      <c r="AC47" s="297">
        <v>228</v>
      </c>
      <c r="AD47" s="297">
        <v>203</v>
      </c>
      <c r="AE47" s="300"/>
      <c r="AF47" s="526">
        <v>803</v>
      </c>
    </row>
    <row r="48" spans="1:32" ht="11.25">
      <c r="A48" s="292" t="s">
        <v>182</v>
      </c>
      <c r="B48" s="217"/>
      <c r="C48" s="298">
        <v>341</v>
      </c>
      <c r="D48" s="299">
        <v>347</v>
      </c>
      <c r="E48" s="299">
        <v>333</v>
      </c>
      <c r="F48" s="299">
        <v>357</v>
      </c>
      <c r="G48" s="299">
        <v>1378</v>
      </c>
      <c r="H48" s="217"/>
      <c r="I48" s="298">
        <v>320</v>
      </c>
      <c r="J48" s="299">
        <v>352</v>
      </c>
      <c r="K48" s="299">
        <v>345</v>
      </c>
      <c r="L48" s="299">
        <v>403</v>
      </c>
      <c r="M48" s="299">
        <v>1420</v>
      </c>
      <c r="N48" s="300"/>
      <c r="O48" s="298">
        <v>329</v>
      </c>
      <c r="P48" s="299">
        <v>349</v>
      </c>
      <c r="Q48" s="299">
        <v>324</v>
      </c>
      <c r="R48" s="299">
        <v>390</v>
      </c>
      <c r="S48" s="246">
        <v>1392</v>
      </c>
      <c r="U48" s="298">
        <v>353</v>
      </c>
      <c r="V48" s="299">
        <v>360</v>
      </c>
      <c r="W48" s="299">
        <v>362</v>
      </c>
      <c r="X48" s="299">
        <v>456</v>
      </c>
      <c r="Y48" s="504">
        <f t="shared" si="1"/>
        <v>1531</v>
      </c>
      <c r="Z48" s="300"/>
      <c r="AA48" s="534">
        <v>369</v>
      </c>
      <c r="AB48" s="297">
        <v>419</v>
      </c>
      <c r="AC48" s="297">
        <v>406</v>
      </c>
      <c r="AD48" s="297">
        <v>455</v>
      </c>
      <c r="AE48" s="300"/>
      <c r="AF48" s="526">
        <v>1649</v>
      </c>
    </row>
    <row r="49" spans="1:32" ht="11.25">
      <c r="A49" s="242" t="s">
        <v>183</v>
      </c>
      <c r="B49" s="217"/>
      <c r="C49" s="301">
        <v>57</v>
      </c>
      <c r="D49" s="302">
        <v>57</v>
      </c>
      <c r="E49" s="302">
        <v>52</v>
      </c>
      <c r="F49" s="302">
        <v>68</v>
      </c>
      <c r="G49" s="303">
        <v>234</v>
      </c>
      <c r="H49" s="217"/>
      <c r="I49" s="301">
        <v>58</v>
      </c>
      <c r="J49" s="302">
        <v>54</v>
      </c>
      <c r="K49" s="302">
        <v>54</v>
      </c>
      <c r="L49" s="303">
        <v>67</v>
      </c>
      <c r="M49" s="303">
        <v>233</v>
      </c>
      <c r="N49" s="304"/>
      <c r="O49" s="305">
        <v>51</v>
      </c>
      <c r="P49" s="303">
        <v>52</v>
      </c>
      <c r="Q49" s="303">
        <v>57</v>
      </c>
      <c r="R49" s="303">
        <v>68</v>
      </c>
      <c r="S49" s="246">
        <v>228</v>
      </c>
      <c r="U49" s="305">
        <v>52</v>
      </c>
      <c r="V49" s="303">
        <v>56</v>
      </c>
      <c r="W49" s="303">
        <v>53</v>
      </c>
      <c r="X49" s="303">
        <v>54</v>
      </c>
      <c r="Y49" s="505">
        <f t="shared" si="1"/>
        <v>215</v>
      </c>
      <c r="Z49" s="304"/>
      <c r="AA49" s="534">
        <v>50</v>
      </c>
      <c r="AB49" s="297">
        <v>53</v>
      </c>
      <c r="AC49" s="297">
        <v>55</v>
      </c>
      <c r="AD49" s="297">
        <v>58</v>
      </c>
      <c r="AE49" s="300"/>
      <c r="AF49" s="526">
        <v>216</v>
      </c>
    </row>
    <row r="50" spans="1:32" ht="11.25">
      <c r="A50" s="242" t="s">
        <v>184</v>
      </c>
      <c r="B50" s="217"/>
      <c r="C50" s="301">
        <v>88</v>
      </c>
      <c r="D50" s="302">
        <v>93</v>
      </c>
      <c r="E50" s="302">
        <v>95</v>
      </c>
      <c r="F50" s="302">
        <v>122</v>
      </c>
      <c r="G50" s="303">
        <v>398</v>
      </c>
      <c r="H50" s="217"/>
      <c r="I50" s="301">
        <v>88</v>
      </c>
      <c r="J50" s="302">
        <v>95</v>
      </c>
      <c r="K50" s="302">
        <v>100</v>
      </c>
      <c r="L50" s="303">
        <v>126</v>
      </c>
      <c r="M50" s="303">
        <v>409</v>
      </c>
      <c r="N50" s="304"/>
      <c r="O50" s="305">
        <v>81</v>
      </c>
      <c r="P50" s="303">
        <v>92</v>
      </c>
      <c r="Q50" s="303">
        <v>98</v>
      </c>
      <c r="R50" s="303">
        <v>121</v>
      </c>
      <c r="S50" s="246">
        <v>392</v>
      </c>
      <c r="U50" s="305">
        <v>98</v>
      </c>
      <c r="V50" s="303">
        <v>102</v>
      </c>
      <c r="W50" s="303">
        <v>106</v>
      </c>
      <c r="X50" s="303">
        <v>140</v>
      </c>
      <c r="Y50" s="505">
        <f t="shared" si="1"/>
        <v>446</v>
      </c>
      <c r="Z50" s="304"/>
      <c r="AA50" s="534">
        <v>108</v>
      </c>
      <c r="AB50" s="297">
        <v>131</v>
      </c>
      <c r="AC50" s="297">
        <v>122</v>
      </c>
      <c r="AD50" s="297">
        <v>150</v>
      </c>
      <c r="AE50" s="300"/>
      <c r="AF50" s="526">
        <v>511</v>
      </c>
    </row>
    <row r="51" spans="1:32" ht="11.25">
      <c r="A51" s="242" t="s">
        <v>185</v>
      </c>
      <c r="B51" s="217"/>
      <c r="C51" s="301">
        <v>98</v>
      </c>
      <c r="D51" s="302">
        <v>97</v>
      </c>
      <c r="E51" s="302">
        <v>92</v>
      </c>
      <c r="F51" s="302">
        <v>73</v>
      </c>
      <c r="G51" s="303">
        <v>360</v>
      </c>
      <c r="H51" s="217"/>
      <c r="I51" s="301">
        <v>86</v>
      </c>
      <c r="J51" s="302">
        <v>98</v>
      </c>
      <c r="K51" s="302">
        <v>97</v>
      </c>
      <c r="L51" s="303">
        <v>107</v>
      </c>
      <c r="M51" s="303">
        <v>388</v>
      </c>
      <c r="N51" s="304"/>
      <c r="O51" s="305">
        <v>105</v>
      </c>
      <c r="P51" s="303">
        <v>102</v>
      </c>
      <c r="Q51" s="303">
        <v>77</v>
      </c>
      <c r="R51" s="303">
        <v>83</v>
      </c>
      <c r="S51" s="246">
        <v>367</v>
      </c>
      <c r="U51" s="305">
        <v>104</v>
      </c>
      <c r="V51" s="303">
        <v>103</v>
      </c>
      <c r="W51" s="303">
        <v>114</v>
      </c>
      <c r="X51" s="303">
        <v>116</v>
      </c>
      <c r="Y51" s="505">
        <f t="shared" si="1"/>
        <v>437</v>
      </c>
      <c r="Z51" s="304"/>
      <c r="AA51" s="534">
        <v>117</v>
      </c>
      <c r="AB51" s="297">
        <v>125</v>
      </c>
      <c r="AC51" s="297">
        <v>120</v>
      </c>
      <c r="AD51" s="297">
        <v>115</v>
      </c>
      <c r="AE51" s="300"/>
      <c r="AF51" s="526">
        <v>477</v>
      </c>
    </row>
    <row r="52" spans="1:32" ht="11.25">
      <c r="A52" s="292" t="s">
        <v>82</v>
      </c>
      <c r="B52" s="217"/>
      <c r="C52" s="298">
        <v>395</v>
      </c>
      <c r="D52" s="299">
        <v>353</v>
      </c>
      <c r="E52" s="299">
        <v>383</v>
      </c>
      <c r="F52" s="299">
        <v>389</v>
      </c>
      <c r="G52" s="299">
        <v>1520</v>
      </c>
      <c r="H52" s="217"/>
      <c r="I52" s="298">
        <v>393</v>
      </c>
      <c r="J52" s="299">
        <v>417</v>
      </c>
      <c r="K52" s="299">
        <v>325</v>
      </c>
      <c r="L52" s="299">
        <v>304</v>
      </c>
      <c r="M52" s="299">
        <v>1439</v>
      </c>
      <c r="N52" s="300"/>
      <c r="O52" s="298">
        <v>293</v>
      </c>
      <c r="P52" s="299">
        <v>313</v>
      </c>
      <c r="Q52" s="299">
        <v>336</v>
      </c>
      <c r="R52" s="299">
        <v>396</v>
      </c>
      <c r="S52" s="246">
        <v>1338</v>
      </c>
      <c r="U52" s="298">
        <v>466</v>
      </c>
      <c r="V52" s="299">
        <v>405</v>
      </c>
      <c r="W52" s="299">
        <v>438</v>
      </c>
      <c r="X52" s="299">
        <v>456</v>
      </c>
      <c r="Y52" s="504">
        <f t="shared" si="1"/>
        <v>1765</v>
      </c>
      <c r="Z52" s="300"/>
      <c r="AA52" s="534">
        <v>434</v>
      </c>
      <c r="AB52" s="297">
        <v>466</v>
      </c>
      <c r="AC52" s="297">
        <v>397</v>
      </c>
      <c r="AD52" s="297">
        <v>374</v>
      </c>
      <c r="AE52" s="300"/>
      <c r="AF52" s="526">
        <v>1671</v>
      </c>
    </row>
    <row r="53" spans="1:32" ht="11.25">
      <c r="A53" s="292" t="s">
        <v>83</v>
      </c>
      <c r="B53" s="217"/>
      <c r="C53" s="298">
        <v>98</v>
      </c>
      <c r="D53" s="299">
        <v>89</v>
      </c>
      <c r="E53" s="299">
        <v>93</v>
      </c>
      <c r="F53" s="299">
        <v>96</v>
      </c>
      <c r="G53" s="299">
        <v>376</v>
      </c>
      <c r="H53" s="217"/>
      <c r="I53" s="298">
        <v>100</v>
      </c>
      <c r="J53" s="299">
        <v>90</v>
      </c>
      <c r="K53" s="299">
        <v>97</v>
      </c>
      <c r="L53" s="299">
        <v>98</v>
      </c>
      <c r="M53" s="299">
        <v>385</v>
      </c>
      <c r="N53" s="300"/>
      <c r="O53" s="298">
        <v>97</v>
      </c>
      <c r="P53" s="299">
        <v>108</v>
      </c>
      <c r="Q53" s="299">
        <v>92</v>
      </c>
      <c r="R53" s="299">
        <v>90</v>
      </c>
      <c r="S53" s="246">
        <v>387</v>
      </c>
      <c r="U53" s="298">
        <v>107</v>
      </c>
      <c r="V53" s="299">
        <v>101</v>
      </c>
      <c r="W53" s="299">
        <v>102</v>
      </c>
      <c r="X53" s="299">
        <v>79</v>
      </c>
      <c r="Y53" s="504">
        <f t="shared" si="1"/>
        <v>389</v>
      </c>
      <c r="Z53" s="300"/>
      <c r="AA53" s="534">
        <v>109</v>
      </c>
      <c r="AB53" s="297">
        <v>109</v>
      </c>
      <c r="AC53" s="297">
        <v>97</v>
      </c>
      <c r="AD53" s="297">
        <v>97</v>
      </c>
      <c r="AE53" s="300"/>
      <c r="AF53" s="526">
        <v>412</v>
      </c>
    </row>
    <row r="54" spans="1:34" ht="11.25">
      <c r="A54" s="295" t="s">
        <v>85</v>
      </c>
      <c r="B54" s="217"/>
      <c r="C54" s="293">
        <v>14</v>
      </c>
      <c r="D54" s="300">
        <v>35</v>
      </c>
      <c r="E54" s="300">
        <v>14</v>
      </c>
      <c r="F54" s="300">
        <v>46</v>
      </c>
      <c r="G54" s="300">
        <v>109</v>
      </c>
      <c r="H54" s="217"/>
      <c r="I54" s="293">
        <v>18</v>
      </c>
      <c r="J54" s="300">
        <v>71</v>
      </c>
      <c r="K54" s="300">
        <v>16</v>
      </c>
      <c r="L54" s="300">
        <v>50</v>
      </c>
      <c r="M54" s="300">
        <v>155</v>
      </c>
      <c r="N54" s="300"/>
      <c r="O54" s="293">
        <v>19</v>
      </c>
      <c r="P54" s="300">
        <v>26</v>
      </c>
      <c r="Q54" s="300">
        <v>62</v>
      </c>
      <c r="R54" s="299">
        <v>54</v>
      </c>
      <c r="S54" s="246">
        <f>105+19+37</f>
        <v>161</v>
      </c>
      <c r="U54" s="293">
        <v>20</v>
      </c>
      <c r="V54" s="300">
        <v>40</v>
      </c>
      <c r="W54" s="300">
        <v>29</v>
      </c>
      <c r="X54" s="300">
        <v>37</v>
      </c>
      <c r="Y54" s="506">
        <f t="shared" si="1"/>
        <v>126</v>
      </c>
      <c r="Z54" s="300"/>
      <c r="AA54" s="534">
        <v>29</v>
      </c>
      <c r="AB54" s="297">
        <v>15</v>
      </c>
      <c r="AC54" s="297">
        <v>22</v>
      </c>
      <c r="AD54" s="297">
        <v>26</v>
      </c>
      <c r="AE54" s="300"/>
      <c r="AF54" s="526">
        <v>92</v>
      </c>
      <c r="AH54" s="200"/>
    </row>
    <row r="55" spans="1:32" ht="11.25">
      <c r="A55" s="306" t="s">
        <v>86</v>
      </c>
      <c r="B55" s="284"/>
      <c r="C55" s="307">
        <f>C43+C44+C45+C48+C52+C53+C54</f>
        <v>3300</v>
      </c>
      <c r="D55" s="308">
        <f>D43+D44+D45+D48+D52+D53+D54</f>
        <v>3186</v>
      </c>
      <c r="E55" s="308">
        <f>E43+E44+E45+E48+E52+E53+E54</f>
        <v>3328</v>
      </c>
      <c r="F55" s="308">
        <f>F43+F44+F45+F48+F52+F53+F54</f>
        <v>3279</v>
      </c>
      <c r="G55" s="308">
        <f>G43+G44+G45+G48+G52+G53+G54</f>
        <v>13093</v>
      </c>
      <c r="H55" s="284"/>
      <c r="I55" s="307">
        <f>I43+I44+I45+I48+I52+I53+I54</f>
        <v>3118</v>
      </c>
      <c r="J55" s="308">
        <f>J43+J44+J45+J48+J52+J53+J54</f>
        <v>3357</v>
      </c>
      <c r="K55" s="308">
        <f>K43+K44+K45+K48+K52+K53+K54</f>
        <v>3017</v>
      </c>
      <c r="L55" s="308">
        <f>L43+L44+L45+L48+L52+L53+L54</f>
        <v>3290</v>
      </c>
      <c r="M55" s="308">
        <f>M43+M44+M45+M48+M52+M53+M54</f>
        <v>12782</v>
      </c>
      <c r="N55" s="309"/>
      <c r="O55" s="307">
        <f>O43+O44+O45+O48+O52+O53+O54</f>
        <v>3079</v>
      </c>
      <c r="P55" s="308">
        <f>P43+P44+P45+P48+P52+P53+P54</f>
        <v>3219</v>
      </c>
      <c r="Q55" s="308">
        <f>Q43+Q44+Q45+Q48+Q52+Q53+Q54</f>
        <v>2999</v>
      </c>
      <c r="R55" s="308">
        <f>R43+R44+R45+R48+R52+R53+R54</f>
        <v>3479</v>
      </c>
      <c r="S55" s="240">
        <f>S43+S44+S45+S48+S52+S53+S54</f>
        <v>12776</v>
      </c>
      <c r="U55" s="307">
        <f>U43+U44+U45+U48+U52+U53+U54</f>
        <v>3337</v>
      </c>
      <c r="V55" s="308">
        <f>V43+V44+V45+V48+V52+V53+V54</f>
        <v>3398</v>
      </c>
      <c r="W55" s="308">
        <f>W43+W44+W45+W48+W52+W53+W54</f>
        <v>3570</v>
      </c>
      <c r="X55" s="308">
        <f>X43+X44+X45+X48+X52+X53+X54</f>
        <v>3619</v>
      </c>
      <c r="Y55" s="507">
        <f t="shared" si="1"/>
        <v>13924</v>
      </c>
      <c r="Z55" s="309"/>
      <c r="AA55" s="534">
        <f>AA43+AA44+AA45+AA48+AA52+AA53+AA54</f>
        <v>3421</v>
      </c>
      <c r="AB55" s="297">
        <f>AB43+AB44+AB45+AB48+AB52+AB53+AB54</f>
        <v>3342</v>
      </c>
      <c r="AC55" s="597">
        <f>AC43+AC44+AC45+AC48+AC52+AC53+AC54</f>
        <v>3337</v>
      </c>
      <c r="AD55" s="597">
        <f>AD43+AD44+AD45+AD48+AD52+AD53+AD54</f>
        <v>3533</v>
      </c>
      <c r="AE55" s="300"/>
      <c r="AF55" s="535">
        <f>AF43+AF44+AF45+AF48+AF52+AF53+AF54</f>
        <v>13633</v>
      </c>
    </row>
    <row r="56" spans="1:32" ht="11.25">
      <c r="A56" s="295" t="s">
        <v>87</v>
      </c>
      <c r="B56" s="217"/>
      <c r="C56" s="293">
        <v>30</v>
      </c>
      <c r="D56" s="310">
        <v>49</v>
      </c>
      <c r="E56" s="294">
        <v>28</v>
      </c>
      <c r="F56" s="294">
        <v>29</v>
      </c>
      <c r="G56" s="294">
        <v>136</v>
      </c>
      <c r="H56" s="217"/>
      <c r="I56" s="293">
        <v>33</v>
      </c>
      <c r="J56" s="294">
        <v>30</v>
      </c>
      <c r="K56" s="294">
        <v>40</v>
      </c>
      <c r="L56" s="294">
        <v>44</v>
      </c>
      <c r="M56" s="294">
        <v>147</v>
      </c>
      <c r="N56" s="300"/>
      <c r="O56" s="293">
        <v>34</v>
      </c>
      <c r="P56" s="300">
        <v>47</v>
      </c>
      <c r="Q56" s="300">
        <v>26</v>
      </c>
      <c r="R56" s="299">
        <v>38</v>
      </c>
      <c r="S56" s="246">
        <v>145</v>
      </c>
      <c r="U56" s="293">
        <v>56</v>
      </c>
      <c r="V56" s="300">
        <v>51</v>
      </c>
      <c r="W56" s="300">
        <v>40</v>
      </c>
      <c r="X56" s="300">
        <v>35</v>
      </c>
      <c r="Y56" s="506">
        <f t="shared" si="1"/>
        <v>182</v>
      </c>
      <c r="Z56" s="300"/>
      <c r="AA56" s="534">
        <v>41</v>
      </c>
      <c r="AB56" s="297">
        <v>51</v>
      </c>
      <c r="AC56" s="297">
        <v>40</v>
      </c>
      <c r="AD56" s="297">
        <v>45</v>
      </c>
      <c r="AE56" s="300"/>
      <c r="AF56" s="526">
        <v>177</v>
      </c>
    </row>
    <row r="57" spans="1:32" ht="11.25">
      <c r="A57" s="292" t="s">
        <v>88</v>
      </c>
      <c r="B57" s="217"/>
      <c r="C57" s="298">
        <v>-269</v>
      </c>
      <c r="D57" s="311">
        <v>-95</v>
      </c>
      <c r="E57" s="299">
        <v>-106</v>
      </c>
      <c r="F57" s="299">
        <v>504</v>
      </c>
      <c r="G57" s="299">
        <v>34</v>
      </c>
      <c r="H57" s="217"/>
      <c r="I57" s="298">
        <v>-229</v>
      </c>
      <c r="J57" s="299">
        <v>-99</v>
      </c>
      <c r="K57" s="299">
        <v>-9</v>
      </c>
      <c r="L57" s="299">
        <v>181</v>
      </c>
      <c r="M57" s="299">
        <v>-156</v>
      </c>
      <c r="N57" s="300"/>
      <c r="O57" s="298">
        <v>-561</v>
      </c>
      <c r="P57" s="299">
        <v>-213</v>
      </c>
      <c r="Q57" s="299">
        <v>54</v>
      </c>
      <c r="R57" s="299">
        <v>434</v>
      </c>
      <c r="S57" s="246">
        <v>-286</v>
      </c>
      <c r="U57" s="298">
        <v>-534</v>
      </c>
      <c r="V57" s="299">
        <v>-282</v>
      </c>
      <c r="W57" s="299">
        <v>-568</v>
      </c>
      <c r="X57" s="299">
        <v>287</v>
      </c>
      <c r="Y57" s="504">
        <f t="shared" si="1"/>
        <v>-1097</v>
      </c>
      <c r="Z57" s="300"/>
      <c r="AA57" s="534">
        <v>-744</v>
      </c>
      <c r="AB57" s="297">
        <v>-28</v>
      </c>
      <c r="AC57" s="297">
        <v>170</v>
      </c>
      <c r="AD57" s="297">
        <v>366</v>
      </c>
      <c r="AE57" s="300"/>
      <c r="AF57" s="526">
        <v>-236</v>
      </c>
    </row>
    <row r="58" spans="1:32" ht="11.25">
      <c r="A58" s="292" t="s">
        <v>186</v>
      </c>
      <c r="B58" s="217"/>
      <c r="C58" s="298">
        <v>-37</v>
      </c>
      <c r="D58" s="311">
        <v>-37</v>
      </c>
      <c r="E58" s="299">
        <v>-36</v>
      </c>
      <c r="F58" s="299">
        <v>-33</v>
      </c>
      <c r="G58" s="299">
        <v>-143</v>
      </c>
      <c r="H58" s="217"/>
      <c r="I58" s="298">
        <v>-24</v>
      </c>
      <c r="J58" s="299">
        <v>-29</v>
      </c>
      <c r="K58" s="299">
        <v>-29</v>
      </c>
      <c r="L58" s="299">
        <v>-36</v>
      </c>
      <c r="M58" s="299">
        <v>-118</v>
      </c>
      <c r="N58" s="300"/>
      <c r="O58" s="298">
        <v>-32</v>
      </c>
      <c r="P58" s="299">
        <v>-45</v>
      </c>
      <c r="Q58" s="299">
        <v>-17</v>
      </c>
      <c r="R58" s="299">
        <v>-24</v>
      </c>
      <c r="S58" s="246">
        <v>-118</v>
      </c>
      <c r="U58" s="298">
        <v>-28</v>
      </c>
      <c r="V58" s="299">
        <v>-32</v>
      </c>
      <c r="W58" s="299">
        <v>-22</v>
      </c>
      <c r="X58" s="299">
        <v>-28</v>
      </c>
      <c r="Y58" s="504">
        <f t="shared" si="1"/>
        <v>-110</v>
      </c>
      <c r="Z58" s="300"/>
      <c r="AA58" s="534">
        <v>-32</v>
      </c>
      <c r="AB58" s="297">
        <v>-28</v>
      </c>
      <c r="AC58" s="297">
        <v>-21</v>
      </c>
      <c r="AD58" s="297">
        <v>-33</v>
      </c>
      <c r="AE58" s="300"/>
      <c r="AF58" s="526">
        <v>-114</v>
      </c>
    </row>
    <row r="59" spans="1:32" ht="15.75" customHeight="1">
      <c r="A59" s="306" t="s">
        <v>90</v>
      </c>
      <c r="B59" s="284"/>
      <c r="C59" s="307">
        <f>SUM(C55:C58)</f>
        <v>3024</v>
      </c>
      <c r="D59" s="308">
        <f>SUM(D55:D58)</f>
        <v>3103</v>
      </c>
      <c r="E59" s="308">
        <f>SUM(E55:E58)</f>
        <v>3214</v>
      </c>
      <c r="F59" s="308">
        <f>G59-C59-D59-E59</f>
        <v>3779</v>
      </c>
      <c r="G59" s="308">
        <f>SUM(G55:G58)</f>
        <v>13120</v>
      </c>
      <c r="H59" s="284"/>
      <c r="I59" s="307">
        <f>SUM(I55:I58)</f>
        <v>2898</v>
      </c>
      <c r="J59" s="308">
        <f>SUM(J55:J58)</f>
        <v>3259</v>
      </c>
      <c r="K59" s="308">
        <f>SUM(K55:K58)</f>
        <v>3019</v>
      </c>
      <c r="L59" s="308">
        <f>SUM(L55:L58)</f>
        <v>3479</v>
      </c>
      <c r="M59" s="308">
        <f>SUM(M55:M58)</f>
        <v>12655</v>
      </c>
      <c r="N59" s="309"/>
      <c r="O59" s="307">
        <f>SUM(O55:O58)</f>
        <v>2520</v>
      </c>
      <c r="P59" s="308">
        <f>SUM(P55:P58)</f>
        <v>3008</v>
      </c>
      <c r="Q59" s="308">
        <f>SUM(Q55:Q58)</f>
        <v>3062</v>
      </c>
      <c r="R59" s="308">
        <v>3927</v>
      </c>
      <c r="S59" s="240">
        <f>SUM(S55:S58)</f>
        <v>12517</v>
      </c>
      <c r="U59" s="307">
        <f>SUM(U55:U58)</f>
        <v>2831</v>
      </c>
      <c r="V59" s="308">
        <f>SUM(V55:V58)</f>
        <v>3135</v>
      </c>
      <c r="W59" s="308">
        <f>SUM(W55:W58)</f>
        <v>3020</v>
      </c>
      <c r="X59" s="308">
        <f>SUM(X55:X58)</f>
        <v>3913</v>
      </c>
      <c r="Y59" s="507">
        <f t="shared" si="1"/>
        <v>12899</v>
      </c>
      <c r="Z59" s="309"/>
      <c r="AA59" s="536">
        <f>SUM(AA55:AA58)</f>
        <v>2686</v>
      </c>
      <c r="AB59" s="299">
        <f>SUM(AB55:AB58)</f>
        <v>3337</v>
      </c>
      <c r="AC59" s="299">
        <f>SUM(AC55:AC58)</f>
        <v>3526</v>
      </c>
      <c r="AD59" s="299">
        <f>SUM(AD55:AD58)</f>
        <v>3911</v>
      </c>
      <c r="AE59" s="598"/>
      <c r="AF59" s="537">
        <f>SUM(AF55:AF58)</f>
        <v>13460</v>
      </c>
    </row>
    <row r="61" ht="22.5">
      <c r="A61" s="648" t="s">
        <v>187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4"/>
  <sheetViews>
    <sheetView zoomScale="130" zoomScaleNormal="130" zoomScalePageLayoutView="0" workbookViewId="0" topLeftCell="A1">
      <pane xSplit="2" ySplit="2" topLeftCell="J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G49" sqref="AG49"/>
    </sheetView>
  </sheetViews>
  <sheetFormatPr defaultColWidth="9.140625" defaultRowHeight="12.75"/>
  <cols>
    <col min="1" max="1" width="55.421875" style="0" customWidth="1"/>
    <col min="2" max="2" width="0.9921875" style="54" customWidth="1"/>
    <col min="3" max="3" width="9.140625" style="9" customWidth="1"/>
    <col min="4" max="4" width="0.9921875" style="10" customWidth="1"/>
    <col min="5" max="8" width="9.140625" style="11" customWidth="1"/>
    <col min="9" max="9" width="9.140625" style="9" customWidth="1"/>
    <col min="10" max="10" width="0.85546875" style="11" customWidth="1"/>
    <col min="11" max="14" width="9.140625" style="11" customWidth="1"/>
    <col min="15" max="15" width="9.57421875" style="9" customWidth="1"/>
    <col min="16" max="16" width="0.85546875" style="11" customWidth="1"/>
    <col min="17" max="21" width="8.8515625" style="11" customWidth="1"/>
    <col min="22" max="22" width="0.85546875" style="11" customWidth="1"/>
    <col min="23" max="23" width="9.00390625" style="0" customWidth="1"/>
    <col min="27" max="27" width="0.85546875" style="0" customWidth="1"/>
  </cols>
  <sheetData>
    <row r="1" spans="1:2" ht="15.75">
      <c r="A1" s="5" t="s">
        <v>188</v>
      </c>
      <c r="B1" s="8"/>
    </row>
    <row r="2" spans="1:28" ht="24" customHeight="1">
      <c r="A2" s="12"/>
      <c r="B2" s="13"/>
      <c r="C2" s="14">
        <v>2014</v>
      </c>
      <c r="D2" s="14"/>
      <c r="E2" s="14" t="s">
        <v>4</v>
      </c>
      <c r="F2" s="14" t="s">
        <v>5</v>
      </c>
      <c r="G2" s="14" t="s">
        <v>6</v>
      </c>
      <c r="H2" s="14" t="s">
        <v>7</v>
      </c>
      <c r="I2" s="14" t="s">
        <v>18</v>
      </c>
      <c r="K2" s="14" t="s">
        <v>8</v>
      </c>
      <c r="L2" s="14" t="s">
        <v>9</v>
      </c>
      <c r="M2" s="14" t="s">
        <v>10</v>
      </c>
      <c r="N2" s="14" t="s">
        <v>11</v>
      </c>
      <c r="O2" s="14" t="s">
        <v>19</v>
      </c>
      <c r="Q2" s="14" t="s">
        <v>16</v>
      </c>
      <c r="R2" s="14" t="s">
        <v>17</v>
      </c>
      <c r="S2" s="14" t="s">
        <v>20</v>
      </c>
      <c r="T2" s="14" t="s">
        <v>21</v>
      </c>
      <c r="U2" s="14">
        <v>2017</v>
      </c>
      <c r="W2" s="14" t="s">
        <v>28</v>
      </c>
      <c r="X2" s="14" t="s">
        <v>30</v>
      </c>
      <c r="Y2" s="14" t="s">
        <v>35</v>
      </c>
      <c r="Z2" s="14" t="s">
        <v>38</v>
      </c>
      <c r="AA2" s="14"/>
      <c r="AB2" s="14">
        <v>2018</v>
      </c>
    </row>
    <row r="3" spans="1:28" s="21" customFormat="1" ht="15">
      <c r="A3" s="15" t="s">
        <v>68</v>
      </c>
      <c r="B3" s="16"/>
      <c r="C3" s="20">
        <v>3362</v>
      </c>
      <c r="D3" s="18"/>
      <c r="E3" s="20">
        <v>705</v>
      </c>
      <c r="F3" s="17">
        <v>1176</v>
      </c>
      <c r="G3" s="17">
        <v>521</v>
      </c>
      <c r="H3" s="17">
        <v>-4340</v>
      </c>
      <c r="I3" s="17">
        <v>-1938</v>
      </c>
      <c r="J3" s="565"/>
      <c r="K3" s="17">
        <v>532</v>
      </c>
      <c r="L3" s="17">
        <v>500</v>
      </c>
      <c r="M3" s="17">
        <v>800</v>
      </c>
      <c r="N3" s="17">
        <v>-5207</v>
      </c>
      <c r="O3" s="17">
        <v>-3375</v>
      </c>
      <c r="P3" s="9"/>
      <c r="Q3" s="20">
        <v>1104</v>
      </c>
      <c r="R3" s="312">
        <v>725</v>
      </c>
      <c r="S3" s="312">
        <v>673</v>
      </c>
      <c r="T3" s="312">
        <v>-348</v>
      </c>
      <c r="U3" s="461">
        <v>2154</v>
      </c>
      <c r="V3" s="9"/>
      <c r="W3" s="466">
        <v>727</v>
      </c>
      <c r="X3" s="409">
        <v>551</v>
      </c>
      <c r="Y3" s="409">
        <v>650</v>
      </c>
      <c r="Z3" s="409">
        <v>744</v>
      </c>
      <c r="AA3" s="599"/>
      <c r="AB3" s="467">
        <v>2672</v>
      </c>
    </row>
    <row r="4" spans="1:28" ht="12.75">
      <c r="A4" s="22" t="s">
        <v>71</v>
      </c>
      <c r="B4" s="23"/>
      <c r="C4" s="27">
        <v>818</v>
      </c>
      <c r="D4" s="25"/>
      <c r="E4" s="27">
        <v>226</v>
      </c>
      <c r="F4" s="24">
        <v>203</v>
      </c>
      <c r="G4" s="24">
        <v>226</v>
      </c>
      <c r="H4" s="24">
        <v>220</v>
      </c>
      <c r="I4" s="24">
        <v>875</v>
      </c>
      <c r="J4" s="566"/>
      <c r="K4" s="24">
        <v>214</v>
      </c>
      <c r="L4" s="24">
        <v>237</v>
      </c>
      <c r="M4" s="24">
        <v>249</v>
      </c>
      <c r="N4" s="24">
        <v>256</v>
      </c>
      <c r="O4" s="24">
        <v>956</v>
      </c>
      <c r="Q4" s="27">
        <v>239</v>
      </c>
      <c r="R4" s="313">
        <v>257</v>
      </c>
      <c r="S4" s="313">
        <v>256</v>
      </c>
      <c r="T4" s="313">
        <v>283</v>
      </c>
      <c r="U4" s="462">
        <v>1035</v>
      </c>
      <c r="W4" s="468">
        <v>251</v>
      </c>
      <c r="X4" s="410">
        <v>283</v>
      </c>
      <c r="Y4" s="410">
        <v>286</v>
      </c>
      <c r="Z4" s="410">
        <v>299</v>
      </c>
      <c r="AA4" s="258"/>
      <c r="AB4" s="469">
        <v>1119</v>
      </c>
    </row>
    <row r="5" spans="1:28" ht="12" customHeight="1">
      <c r="A5" s="22" t="s">
        <v>96</v>
      </c>
      <c r="B5" s="23"/>
      <c r="C5" s="27">
        <v>29</v>
      </c>
      <c r="D5" s="25"/>
      <c r="E5" s="27">
        <v>14</v>
      </c>
      <c r="F5" s="24">
        <v>20</v>
      </c>
      <c r="G5" s="24">
        <v>29</v>
      </c>
      <c r="H5" s="24">
        <v>22</v>
      </c>
      <c r="I5" s="24">
        <v>85</v>
      </c>
      <c r="J5" s="566"/>
      <c r="K5" s="24">
        <v>23</v>
      </c>
      <c r="L5" s="24">
        <v>24</v>
      </c>
      <c r="M5" s="24">
        <v>38</v>
      </c>
      <c r="N5" s="24">
        <v>43</v>
      </c>
      <c r="O5" s="24">
        <v>128</v>
      </c>
      <c r="Q5" s="27">
        <v>38</v>
      </c>
      <c r="R5" s="313">
        <v>38</v>
      </c>
      <c r="S5" s="313">
        <v>36</v>
      </c>
      <c r="T5" s="313">
        <v>36</v>
      </c>
      <c r="U5" s="462">
        <v>148</v>
      </c>
      <c r="W5" s="468">
        <v>32</v>
      </c>
      <c r="X5" s="410">
        <v>41</v>
      </c>
      <c r="Y5" s="410">
        <v>40</v>
      </c>
      <c r="Z5" s="410">
        <v>37</v>
      </c>
      <c r="AA5" s="258"/>
      <c r="AB5" s="470">
        <v>150</v>
      </c>
    </row>
    <row r="6" spans="1:28" ht="12" customHeight="1">
      <c r="A6" s="31" t="s">
        <v>189</v>
      </c>
      <c r="B6" s="32"/>
      <c r="C6" s="27">
        <v>32</v>
      </c>
      <c r="D6" s="25"/>
      <c r="E6" s="27">
        <v>0</v>
      </c>
      <c r="F6" s="24">
        <v>0</v>
      </c>
      <c r="G6" s="24">
        <v>194</v>
      </c>
      <c r="H6" s="24">
        <v>5078</v>
      </c>
      <c r="I6" s="24">
        <v>5272</v>
      </c>
      <c r="J6" s="566"/>
      <c r="K6" s="24">
        <v>57</v>
      </c>
      <c r="L6" s="24">
        <v>8</v>
      </c>
      <c r="M6" s="24">
        <v>5</v>
      </c>
      <c r="N6" s="24">
        <v>6127</v>
      </c>
      <c r="O6" s="24">
        <v>6197</v>
      </c>
      <c r="Q6" s="27">
        <v>0</v>
      </c>
      <c r="R6" s="313">
        <v>1</v>
      </c>
      <c r="S6" s="313">
        <v>0</v>
      </c>
      <c r="T6" s="313">
        <v>939</v>
      </c>
      <c r="U6" s="462">
        <v>940</v>
      </c>
      <c r="W6" s="468">
        <f>765-813</f>
        <v>-48</v>
      </c>
      <c r="X6" s="410">
        <v>-91</v>
      </c>
      <c r="Y6" s="410">
        <v>-19</v>
      </c>
      <c r="Z6" s="410">
        <v>-465</v>
      </c>
      <c r="AA6" s="258"/>
      <c r="AB6" s="471">
        <v>-623</v>
      </c>
    </row>
    <row r="7" spans="1:28" ht="21.75" customHeight="1">
      <c r="A7" s="649" t="s">
        <v>190</v>
      </c>
      <c r="B7" s="32"/>
      <c r="C7" s="27" t="s">
        <v>29</v>
      </c>
      <c r="D7" s="25"/>
      <c r="E7" s="27" t="s">
        <v>29</v>
      </c>
      <c r="F7" s="24" t="s">
        <v>29</v>
      </c>
      <c r="G7" s="24" t="s">
        <v>29</v>
      </c>
      <c r="H7" s="24" t="s">
        <v>29</v>
      </c>
      <c r="I7" s="24" t="s">
        <v>29</v>
      </c>
      <c r="J7" s="566"/>
      <c r="K7" s="24" t="s">
        <v>29</v>
      </c>
      <c r="L7" s="24" t="s">
        <v>29</v>
      </c>
      <c r="M7" s="24" t="s">
        <v>29</v>
      </c>
      <c r="N7" s="24" t="s">
        <v>29</v>
      </c>
      <c r="O7" s="24" t="s">
        <v>29</v>
      </c>
      <c r="Q7" s="27" t="s">
        <v>29</v>
      </c>
      <c r="R7" s="313" t="s">
        <v>29</v>
      </c>
      <c r="S7" s="313" t="s">
        <v>29</v>
      </c>
      <c r="T7" s="313" t="s">
        <v>29</v>
      </c>
      <c r="U7" s="462" t="s">
        <v>29</v>
      </c>
      <c r="W7" s="468">
        <v>-113</v>
      </c>
      <c r="X7" s="410">
        <v>72</v>
      </c>
      <c r="Y7" s="410">
        <v>-11</v>
      </c>
      <c r="Z7" s="410">
        <v>115</v>
      </c>
      <c r="AA7" s="258"/>
      <c r="AB7" s="472">
        <v>63</v>
      </c>
    </row>
    <row r="8" spans="1:28" ht="12" customHeight="1">
      <c r="A8" s="448" t="s">
        <v>98</v>
      </c>
      <c r="B8" s="23"/>
      <c r="C8" s="27">
        <v>390</v>
      </c>
      <c r="D8" s="25">
        <v>390</v>
      </c>
      <c r="E8" s="27">
        <v>219</v>
      </c>
      <c r="F8" s="24">
        <v>-449</v>
      </c>
      <c r="G8" s="24">
        <v>-43</v>
      </c>
      <c r="H8" s="24">
        <v>-157</v>
      </c>
      <c r="I8" s="24">
        <v>-430</v>
      </c>
      <c r="J8" s="566"/>
      <c r="K8" s="24">
        <v>-440</v>
      </c>
      <c r="L8" s="24">
        <v>213</v>
      </c>
      <c r="M8" s="24">
        <v>-204</v>
      </c>
      <c r="N8" s="24">
        <v>238</v>
      </c>
      <c r="O8" s="24">
        <v>-193</v>
      </c>
      <c r="Q8" s="27">
        <v>178</v>
      </c>
      <c r="R8" s="313">
        <v>-451</v>
      </c>
      <c r="S8" s="313">
        <v>144</v>
      </c>
      <c r="T8" s="313">
        <v>-14</v>
      </c>
      <c r="U8" s="462">
        <f>30+152-67+43-2-299</f>
        <v>-143</v>
      </c>
      <c r="W8" s="468">
        <f>-315+113</f>
        <v>-202</v>
      </c>
      <c r="X8" s="410">
        <v>-90</v>
      </c>
      <c r="Y8" s="410">
        <v>-197</v>
      </c>
      <c r="Z8" s="410">
        <v>80</v>
      </c>
      <c r="AA8" s="258"/>
      <c r="AB8" s="469">
        <f>-190-219</f>
        <v>-409</v>
      </c>
    </row>
    <row r="9" spans="1:28" s="21" customFormat="1" ht="12" customHeight="1">
      <c r="A9" s="15" t="s">
        <v>99</v>
      </c>
      <c r="B9" s="16"/>
      <c r="C9" s="20">
        <v>1269</v>
      </c>
      <c r="D9" s="18"/>
      <c r="E9" s="20">
        <v>459</v>
      </c>
      <c r="F9" s="17">
        <v>-226</v>
      </c>
      <c r="G9" s="17">
        <v>406</v>
      </c>
      <c r="H9" s="17">
        <v>5163</v>
      </c>
      <c r="I9" s="17">
        <v>5802</v>
      </c>
      <c r="J9" s="565"/>
      <c r="K9" s="17">
        <v>-146</v>
      </c>
      <c r="L9" s="17">
        <v>482</v>
      </c>
      <c r="M9" s="17">
        <v>88</v>
      </c>
      <c r="N9" s="17">
        <v>6664</v>
      </c>
      <c r="O9" s="17">
        <v>7088</v>
      </c>
      <c r="P9" s="9"/>
      <c r="Q9" s="20">
        <f>+Q4+Q5+Q6+Q8</f>
        <v>455</v>
      </c>
      <c r="R9" s="312">
        <f>+R4+R5+R6+R8</f>
        <v>-155</v>
      </c>
      <c r="S9" s="312">
        <f>+S4+S5+S6+S8</f>
        <v>436</v>
      </c>
      <c r="T9" s="312">
        <f>+T4+T5+T6+T8</f>
        <v>1244</v>
      </c>
      <c r="U9" s="461">
        <f>U4+U5+U6+U8</f>
        <v>1980</v>
      </c>
      <c r="V9" s="9"/>
      <c r="W9" s="466">
        <f>+W4+W5+W6+W7+W8</f>
        <v>-80</v>
      </c>
      <c r="X9" s="409">
        <f>+X4+X5+X6+X7+X8</f>
        <v>215</v>
      </c>
      <c r="Y9" s="409">
        <f>Y4+Y5+Y6+Y7+Y8</f>
        <v>99</v>
      </c>
      <c r="Z9" s="409">
        <v>66</v>
      </c>
      <c r="AA9" s="255"/>
      <c r="AB9" s="473">
        <f>AB4+AB5+AB6+AB7+AB8</f>
        <v>300</v>
      </c>
    </row>
    <row r="10" spans="1:28" ht="12" customHeight="1">
      <c r="A10" s="33" t="s">
        <v>100</v>
      </c>
      <c r="B10" s="34"/>
      <c r="C10" s="27">
        <v>-853</v>
      </c>
      <c r="D10" s="25"/>
      <c r="E10" s="27">
        <v>-225</v>
      </c>
      <c r="F10" s="24">
        <v>-206</v>
      </c>
      <c r="G10" s="24">
        <v>-225</v>
      </c>
      <c r="H10" s="24">
        <v>-224</v>
      </c>
      <c r="I10" s="24">
        <v>-880</v>
      </c>
      <c r="J10" s="566"/>
      <c r="K10" s="24">
        <v>-75</v>
      </c>
      <c r="L10" s="24">
        <v>-72</v>
      </c>
      <c r="M10" s="24">
        <v>-204</v>
      </c>
      <c r="N10" s="24">
        <v>-117</v>
      </c>
      <c r="O10" s="24">
        <v>-468</v>
      </c>
      <c r="Q10" s="27">
        <v>-414</v>
      </c>
      <c r="R10" s="313">
        <v>-270</v>
      </c>
      <c r="S10" s="313">
        <v>-111</v>
      </c>
      <c r="T10" s="313">
        <v>-139</v>
      </c>
      <c r="U10" s="462">
        <v>-934</v>
      </c>
      <c r="W10" s="468">
        <v>-144</v>
      </c>
      <c r="X10" s="410">
        <v>-188</v>
      </c>
      <c r="Y10" s="410">
        <v>-189</v>
      </c>
      <c r="Z10" s="410">
        <v>-189</v>
      </c>
      <c r="AA10" s="258"/>
      <c r="AB10" s="472">
        <v>-710</v>
      </c>
    </row>
    <row r="11" spans="1:28" ht="12" customHeight="1">
      <c r="A11" s="33" t="s">
        <v>101</v>
      </c>
      <c r="B11" s="34"/>
      <c r="C11" s="27">
        <v>222</v>
      </c>
      <c r="D11" s="25"/>
      <c r="E11" s="27">
        <v>218</v>
      </c>
      <c r="F11" s="24">
        <v>221</v>
      </c>
      <c r="G11" s="24">
        <v>-13</v>
      </c>
      <c r="H11" s="24">
        <v>-131</v>
      </c>
      <c r="I11" s="24">
        <v>295</v>
      </c>
      <c r="J11" s="566"/>
      <c r="K11" s="24">
        <v>127</v>
      </c>
      <c r="L11" s="24">
        <v>-306</v>
      </c>
      <c r="M11" s="24">
        <v>137</v>
      </c>
      <c r="N11" s="24">
        <v>394</v>
      </c>
      <c r="O11" s="24">
        <v>352</v>
      </c>
      <c r="Q11" s="27">
        <v>-598</v>
      </c>
      <c r="R11" s="313">
        <v>-47</v>
      </c>
      <c r="S11" s="313">
        <v>-591</v>
      </c>
      <c r="T11" s="313">
        <v>116</v>
      </c>
      <c r="U11" s="462">
        <v>-1120</v>
      </c>
      <c r="W11" s="468">
        <v>-585</v>
      </c>
      <c r="X11" s="410">
        <v>-128</v>
      </c>
      <c r="Y11" s="410">
        <v>207</v>
      </c>
      <c r="Z11" s="410">
        <v>1059</v>
      </c>
      <c r="AA11" s="258"/>
      <c r="AB11" s="469">
        <v>553</v>
      </c>
    </row>
    <row r="12" spans="1:28" ht="12" customHeight="1">
      <c r="A12" s="36" t="s">
        <v>102</v>
      </c>
      <c r="B12" s="37"/>
      <c r="C12" s="20">
        <v>4000</v>
      </c>
      <c r="D12" s="18"/>
      <c r="E12" s="20">
        <v>1157</v>
      </c>
      <c r="F12" s="17">
        <v>965</v>
      </c>
      <c r="G12" s="17">
        <v>689</v>
      </c>
      <c r="H12" s="17">
        <v>468</v>
      </c>
      <c r="I12" s="17">
        <v>3279</v>
      </c>
      <c r="J12" s="566"/>
      <c r="K12" s="17">
        <v>438</v>
      </c>
      <c r="L12" s="17">
        <v>604</v>
      </c>
      <c r="M12" s="17">
        <v>821</v>
      </c>
      <c r="N12" s="17">
        <v>1734</v>
      </c>
      <c r="O12" s="46">
        <v>3597</v>
      </c>
      <c r="Q12" s="20">
        <f>+Q3+Q9+Q10+Q11</f>
        <v>547</v>
      </c>
      <c r="R12" s="312">
        <f>+R3+R9+R10+R11</f>
        <v>253</v>
      </c>
      <c r="S12" s="312">
        <f>+S3+S9+S10+S11</f>
        <v>407</v>
      </c>
      <c r="T12" s="312">
        <f>+T3+T9+T10+T11</f>
        <v>873</v>
      </c>
      <c r="U12" s="461">
        <f>U3+U9+U10+U11</f>
        <v>2080</v>
      </c>
      <c r="W12" s="466">
        <f>+W3+W9+W10+W11</f>
        <v>-82</v>
      </c>
      <c r="X12" s="409">
        <f>+X3+X9+X10+X11</f>
        <v>450</v>
      </c>
      <c r="Y12" s="409">
        <f>+Y3+Y9+Y10+Y11</f>
        <v>767</v>
      </c>
      <c r="Z12" s="409">
        <f>+Z3+Z9+Z10+Z11</f>
        <v>1680</v>
      </c>
      <c r="AA12" s="255"/>
      <c r="AB12" s="473">
        <f>+AB3+AB9+AB10+AB11</f>
        <v>2815</v>
      </c>
    </row>
    <row r="13" spans="1:28" ht="12" customHeight="1">
      <c r="A13" s="38"/>
      <c r="B13" s="16"/>
      <c r="C13" s="40"/>
      <c r="D13" s="18"/>
      <c r="E13" s="40"/>
      <c r="F13" s="39"/>
      <c r="G13" s="39"/>
      <c r="H13" s="39"/>
      <c r="I13" s="39"/>
      <c r="J13" s="566"/>
      <c r="K13" s="39"/>
      <c r="L13" s="39"/>
      <c r="M13" s="39"/>
      <c r="N13" s="39"/>
      <c r="O13" s="18"/>
      <c r="Q13" s="40"/>
      <c r="R13" s="314"/>
      <c r="S13" s="314"/>
      <c r="T13" s="314"/>
      <c r="U13" s="463"/>
      <c r="W13" s="474"/>
      <c r="X13" s="412"/>
      <c r="Y13" s="412"/>
      <c r="Z13" s="412"/>
      <c r="AA13" s="600"/>
      <c r="AB13" s="469"/>
    </row>
    <row r="14" spans="1:28" ht="12" customHeight="1">
      <c r="A14" s="41" t="s">
        <v>191</v>
      </c>
      <c r="B14" s="23"/>
      <c r="C14" s="43">
        <v>-2179</v>
      </c>
      <c r="D14" s="25"/>
      <c r="E14" s="43">
        <v>-648</v>
      </c>
      <c r="F14" s="42">
        <v>-479</v>
      </c>
      <c r="G14" s="42">
        <v>-588</v>
      </c>
      <c r="H14" s="42">
        <v>-727</v>
      </c>
      <c r="I14" s="42">
        <v>-2442</v>
      </c>
      <c r="J14" s="566"/>
      <c r="K14" s="42">
        <v>-812</v>
      </c>
      <c r="L14" s="42">
        <v>-610</v>
      </c>
      <c r="M14" s="42">
        <v>-573</v>
      </c>
      <c r="N14" s="42">
        <v>-590</v>
      </c>
      <c r="O14" s="42">
        <v>-2585</v>
      </c>
      <c r="Q14" s="43">
        <v>-603</v>
      </c>
      <c r="R14" s="315">
        <v>-371</v>
      </c>
      <c r="S14" s="315">
        <v>-373</v>
      </c>
      <c r="T14" s="315">
        <v>-623</v>
      </c>
      <c r="U14" s="464">
        <v>-1970</v>
      </c>
      <c r="W14" s="475">
        <v>-556</v>
      </c>
      <c r="X14" s="411">
        <v>-386</v>
      </c>
      <c r="Y14" s="411">
        <v>-419</v>
      </c>
      <c r="Z14" s="411">
        <v>-523</v>
      </c>
      <c r="AA14" s="258"/>
      <c r="AB14" s="472">
        <v>-1884</v>
      </c>
    </row>
    <row r="15" spans="1:28" ht="12" customHeight="1">
      <c r="A15" s="22" t="s">
        <v>192</v>
      </c>
      <c r="B15" s="23"/>
      <c r="C15" s="27">
        <v>-24</v>
      </c>
      <c r="D15" s="25"/>
      <c r="E15" s="27">
        <v>-11</v>
      </c>
      <c r="F15" s="24">
        <v>-8</v>
      </c>
      <c r="G15" s="24">
        <v>-9</v>
      </c>
      <c r="H15" s="24">
        <v>-11</v>
      </c>
      <c r="I15" s="24">
        <v>-39</v>
      </c>
      <c r="J15" s="566"/>
      <c r="K15" s="24">
        <v>-8</v>
      </c>
      <c r="L15" s="24">
        <v>-1</v>
      </c>
      <c r="M15" s="24">
        <v>-3</v>
      </c>
      <c r="N15" s="24">
        <v>-7</v>
      </c>
      <c r="O15" s="24">
        <v>-19</v>
      </c>
      <c r="Q15" s="27">
        <v>-8</v>
      </c>
      <c r="R15" s="313">
        <v>-1</v>
      </c>
      <c r="S15" s="313">
        <v>-4</v>
      </c>
      <c r="T15" s="313">
        <v>-8</v>
      </c>
      <c r="U15" s="462">
        <v>-21</v>
      </c>
      <c r="W15" s="468">
        <v>-15</v>
      </c>
      <c r="X15" s="410">
        <v>-4</v>
      </c>
      <c r="Y15" s="410">
        <v>-7</v>
      </c>
      <c r="Z15" s="410">
        <v>3</v>
      </c>
      <c r="AA15" s="258"/>
      <c r="AB15" s="469">
        <v>-23</v>
      </c>
    </row>
    <row r="16" spans="1:28" ht="12" customHeight="1">
      <c r="A16" s="22" t="s">
        <v>193</v>
      </c>
      <c r="B16" s="23"/>
      <c r="C16" s="27">
        <v>-1597</v>
      </c>
      <c r="D16" s="25"/>
      <c r="E16" s="27">
        <v>-1155</v>
      </c>
      <c r="F16" s="24">
        <v>-2298</v>
      </c>
      <c r="G16" s="24">
        <v>-332</v>
      </c>
      <c r="H16" s="24">
        <v>-460</v>
      </c>
      <c r="I16" s="24">
        <v>-4245</v>
      </c>
      <c r="J16" s="566"/>
      <c r="K16" s="24">
        <v>-198</v>
      </c>
      <c r="L16" s="24">
        <v>-127</v>
      </c>
      <c r="M16" s="24">
        <v>-132</v>
      </c>
      <c r="N16" s="24">
        <v>-377</v>
      </c>
      <c r="O16" s="24">
        <v>-834</v>
      </c>
      <c r="Q16" s="27">
        <v>0</v>
      </c>
      <c r="R16" s="313">
        <v>-219</v>
      </c>
      <c r="S16" s="313">
        <v>0</v>
      </c>
      <c r="T16" s="313">
        <v>-271</v>
      </c>
      <c r="U16" s="462">
        <v>-490</v>
      </c>
      <c r="W16" s="468">
        <v>-5</v>
      </c>
      <c r="X16" s="410">
        <v>-264</v>
      </c>
      <c r="Y16" s="410">
        <v>0</v>
      </c>
      <c r="Z16" s="410">
        <v>-413</v>
      </c>
      <c r="AA16" s="258"/>
      <c r="AB16" s="470">
        <v>-682</v>
      </c>
    </row>
    <row r="17" spans="1:28" ht="12" customHeight="1">
      <c r="A17" s="22" t="s">
        <v>107</v>
      </c>
      <c r="B17" s="23"/>
      <c r="C17" s="27">
        <v>-28</v>
      </c>
      <c r="D17" s="18">
        <v>0</v>
      </c>
      <c r="E17" s="27">
        <v>-70</v>
      </c>
      <c r="F17" s="24">
        <v>-70</v>
      </c>
      <c r="G17" s="24">
        <v>-8</v>
      </c>
      <c r="H17" s="24">
        <v>2</v>
      </c>
      <c r="I17" s="24">
        <v>-146</v>
      </c>
      <c r="J17" s="566">
        <v>0</v>
      </c>
      <c r="K17" s="24">
        <v>-35</v>
      </c>
      <c r="L17" s="24">
        <v>-6</v>
      </c>
      <c r="M17" s="24">
        <v>-39</v>
      </c>
      <c r="N17" s="24">
        <v>28</v>
      </c>
      <c r="O17" s="24">
        <v>-52</v>
      </c>
      <c r="Q17" s="27">
        <v>-40</v>
      </c>
      <c r="R17" s="313">
        <v>16</v>
      </c>
      <c r="S17" s="313">
        <v>-21</v>
      </c>
      <c r="T17" s="313">
        <v>14</v>
      </c>
      <c r="U17" s="462">
        <f>-83+52</f>
        <v>-31</v>
      </c>
      <c r="W17" s="468">
        <v>-32</v>
      </c>
      <c r="X17" s="410">
        <v>105</v>
      </c>
      <c r="Y17" s="410">
        <v>127</v>
      </c>
      <c r="Z17" s="410">
        <v>-10</v>
      </c>
      <c r="AA17" s="258"/>
      <c r="AB17" s="472">
        <v>190</v>
      </c>
    </row>
    <row r="18" spans="1:28" ht="12" customHeight="1">
      <c r="A18" s="36" t="s">
        <v>108</v>
      </c>
      <c r="B18" s="37"/>
      <c r="C18" s="20">
        <f>SUM(C14:C17)</f>
        <v>-3828</v>
      </c>
      <c r="D18" s="18"/>
      <c r="E18" s="20">
        <f>SUM(E14:E17)</f>
        <v>-1884</v>
      </c>
      <c r="F18" s="17">
        <f>SUM(F14:F17)</f>
        <v>-2855</v>
      </c>
      <c r="G18" s="17">
        <f>SUM(G14:G17)</f>
        <v>-937</v>
      </c>
      <c r="H18" s="17">
        <f>SUM(H14:H17)</f>
        <v>-1196</v>
      </c>
      <c r="I18" s="17">
        <f>SUM(I14:I17)</f>
        <v>-6872</v>
      </c>
      <c r="J18" s="566"/>
      <c r="K18" s="17">
        <f>SUM(K14:K17)</f>
        <v>-1053</v>
      </c>
      <c r="L18" s="17">
        <f>SUM(L14:L17)</f>
        <v>-744</v>
      </c>
      <c r="M18" s="17">
        <f>SUM(M14:M17)</f>
        <v>-747</v>
      </c>
      <c r="N18" s="17">
        <f>SUM(N14:N17)</f>
        <v>-946</v>
      </c>
      <c r="O18" s="17">
        <f>SUM(O14:O17)</f>
        <v>-3490</v>
      </c>
      <c r="Q18" s="20">
        <f>SUM(Q14:Q17)</f>
        <v>-651</v>
      </c>
      <c r="R18" s="312">
        <f>SUM(R14:R17)</f>
        <v>-575</v>
      </c>
      <c r="S18" s="312">
        <f>SUM(S14:S17)</f>
        <v>-398</v>
      </c>
      <c r="T18" s="312">
        <f>SUM(T14:T17)</f>
        <v>-888</v>
      </c>
      <c r="U18" s="461">
        <f>U14+U15+U16+U17</f>
        <v>-2512</v>
      </c>
      <c r="W18" s="466">
        <f>SUM(W14:W17)</f>
        <v>-608</v>
      </c>
      <c r="X18" s="409">
        <f>SUM(X14:X17)</f>
        <v>-549</v>
      </c>
      <c r="Y18" s="409">
        <f>SUM(Y14:Y17)</f>
        <v>-299</v>
      </c>
      <c r="Z18" s="409">
        <v>-943</v>
      </c>
      <c r="AA18" s="255"/>
      <c r="AB18" s="476">
        <f>SUM(AB14:AB17)</f>
        <v>-2399</v>
      </c>
    </row>
    <row r="19" spans="1:28" ht="12" customHeight="1">
      <c r="A19" s="38"/>
      <c r="B19" s="16"/>
      <c r="C19" s="40"/>
      <c r="D19" s="18"/>
      <c r="E19" s="40"/>
      <c r="F19" s="39"/>
      <c r="G19" s="39"/>
      <c r="H19" s="39"/>
      <c r="I19" s="39"/>
      <c r="J19" s="566"/>
      <c r="K19" s="39"/>
      <c r="L19" s="39"/>
      <c r="M19" s="39"/>
      <c r="N19" s="39"/>
      <c r="O19" s="18"/>
      <c r="Q19" s="40"/>
      <c r="R19" s="314"/>
      <c r="S19" s="314"/>
      <c r="T19" s="314"/>
      <c r="U19" s="463"/>
      <c r="W19" s="474"/>
      <c r="X19" s="412"/>
      <c r="Y19" s="412"/>
      <c r="Z19" s="412"/>
      <c r="AA19" s="600"/>
      <c r="AB19" s="469"/>
    </row>
    <row r="20" spans="1:28" ht="12" customHeight="1">
      <c r="A20" s="41" t="s">
        <v>109</v>
      </c>
      <c r="B20" s="23"/>
      <c r="C20" s="43">
        <v>1974</v>
      </c>
      <c r="D20" s="25"/>
      <c r="E20" s="43">
        <v>1137</v>
      </c>
      <c r="F20" s="42">
        <v>2261</v>
      </c>
      <c r="G20" s="42">
        <v>648</v>
      </c>
      <c r="H20" s="42">
        <v>910</v>
      </c>
      <c r="I20" s="42">
        <v>4956</v>
      </c>
      <c r="J20" s="566"/>
      <c r="K20" s="42">
        <v>1044</v>
      </c>
      <c r="L20" s="42">
        <v>870</v>
      </c>
      <c r="M20" s="42">
        <v>915</v>
      </c>
      <c r="N20" s="42">
        <v>369</v>
      </c>
      <c r="O20" s="42">
        <v>3198</v>
      </c>
      <c r="Q20" s="43">
        <v>761</v>
      </c>
      <c r="R20" s="315">
        <v>676</v>
      </c>
      <c r="S20" s="315">
        <v>198</v>
      </c>
      <c r="T20" s="315">
        <v>781</v>
      </c>
      <c r="U20" s="464">
        <v>2416</v>
      </c>
      <c r="W20" s="475">
        <v>1112</v>
      </c>
      <c r="X20" s="411">
        <v>932</v>
      </c>
      <c r="Y20" s="411">
        <f>-8+8</f>
        <v>0</v>
      </c>
      <c r="Z20" s="411">
        <v>213</v>
      </c>
      <c r="AA20" s="258"/>
      <c r="AB20" s="477">
        <v>2257</v>
      </c>
    </row>
    <row r="21" spans="1:28" ht="12" customHeight="1">
      <c r="A21" s="22" t="s">
        <v>110</v>
      </c>
      <c r="B21" s="23"/>
      <c r="C21" s="27">
        <v>-1135</v>
      </c>
      <c r="D21" s="25"/>
      <c r="E21" s="27">
        <v>0</v>
      </c>
      <c r="F21" s="24">
        <v>0</v>
      </c>
      <c r="G21" s="24">
        <v>-214</v>
      </c>
      <c r="H21" s="24">
        <v>-161</v>
      </c>
      <c r="I21" s="24">
        <v>-375</v>
      </c>
      <c r="J21" s="566"/>
      <c r="K21" s="24">
        <v>-325</v>
      </c>
      <c r="L21" s="24">
        <v>-593</v>
      </c>
      <c r="M21" s="24">
        <v>-813</v>
      </c>
      <c r="N21" s="24">
        <v>-870</v>
      </c>
      <c r="O21" s="24">
        <v>-2601</v>
      </c>
      <c r="Q21" s="27">
        <v>-733</v>
      </c>
      <c r="R21" s="313">
        <v>-774</v>
      </c>
      <c r="S21" s="313">
        <v>0</v>
      </c>
      <c r="T21" s="313">
        <v>-523</v>
      </c>
      <c r="U21" s="462">
        <v>-2030</v>
      </c>
      <c r="W21" s="468">
        <v>-481</v>
      </c>
      <c r="X21" s="410">
        <v>-665</v>
      </c>
      <c r="Y21" s="410">
        <f>-235-8</f>
        <v>-243</v>
      </c>
      <c r="Z21" s="410">
        <v>-764</v>
      </c>
      <c r="AA21" s="258"/>
      <c r="AB21" s="472">
        <v>-2153</v>
      </c>
    </row>
    <row r="22" spans="1:28" ht="12" customHeight="1">
      <c r="A22" s="22" t="s">
        <v>194</v>
      </c>
      <c r="B22" s="23"/>
      <c r="C22" s="27">
        <v>-1000</v>
      </c>
      <c r="D22" s="25"/>
      <c r="E22" s="27">
        <v>0</v>
      </c>
      <c r="F22" s="24">
        <v>-400</v>
      </c>
      <c r="G22" s="24">
        <v>0</v>
      </c>
      <c r="H22" s="24">
        <v>-400</v>
      </c>
      <c r="I22" s="24">
        <v>-800</v>
      </c>
      <c r="J22" s="566"/>
      <c r="K22" s="24">
        <v>0</v>
      </c>
      <c r="L22" s="24">
        <v>0</v>
      </c>
      <c r="M22" s="24">
        <v>-150</v>
      </c>
      <c r="N22" s="24">
        <v>-150</v>
      </c>
      <c r="O22" s="24">
        <v>-300</v>
      </c>
      <c r="Q22" s="27">
        <v>0</v>
      </c>
      <c r="R22" s="313">
        <v>0</v>
      </c>
      <c r="S22" s="313">
        <v>-100</v>
      </c>
      <c r="T22" s="313">
        <v>-100</v>
      </c>
      <c r="U22" s="462">
        <v>-200</v>
      </c>
      <c r="W22" s="468">
        <v>0</v>
      </c>
      <c r="X22" s="410">
        <v>0</v>
      </c>
      <c r="Y22" s="410">
        <v>0</v>
      </c>
      <c r="Z22" s="410">
        <v>0</v>
      </c>
      <c r="AA22" s="258"/>
      <c r="AB22" s="469">
        <v>0</v>
      </c>
    </row>
    <row r="23" spans="1:28" ht="12" customHeight="1">
      <c r="A23" s="22" t="s">
        <v>195</v>
      </c>
      <c r="B23" s="23"/>
      <c r="C23" s="27">
        <v>-21</v>
      </c>
      <c r="D23" s="25"/>
      <c r="E23" s="27">
        <v>-13</v>
      </c>
      <c r="F23" s="24">
        <v>-15</v>
      </c>
      <c r="G23" s="24">
        <v>-28</v>
      </c>
      <c r="H23" s="24">
        <v>-19</v>
      </c>
      <c r="I23" s="24">
        <v>-75</v>
      </c>
      <c r="J23" s="566"/>
      <c r="K23" s="24">
        <v>-22</v>
      </c>
      <c r="L23" s="24">
        <v>-21</v>
      </c>
      <c r="M23" s="24">
        <v>-37</v>
      </c>
      <c r="N23" s="24">
        <v>-39</v>
      </c>
      <c r="O23" s="24">
        <v>-119</v>
      </c>
      <c r="Q23" s="27">
        <v>-36</v>
      </c>
      <c r="R23" s="313">
        <v>-34</v>
      </c>
      <c r="S23" s="313">
        <v>-34</v>
      </c>
      <c r="T23" s="313">
        <v>-34</v>
      </c>
      <c r="U23" s="462">
        <v>-138</v>
      </c>
      <c r="W23" s="468">
        <v>-30</v>
      </c>
      <c r="X23" s="410">
        <v>-36</v>
      </c>
      <c r="Y23" s="410">
        <v>-41</v>
      </c>
      <c r="Z23" s="410">
        <v>-45</v>
      </c>
      <c r="AA23" s="258"/>
      <c r="AB23" s="469">
        <v>-152</v>
      </c>
    </row>
    <row r="24" spans="1:28" ht="12" customHeight="1">
      <c r="A24" s="22" t="s">
        <v>107</v>
      </c>
      <c r="B24" s="23"/>
      <c r="C24" s="27">
        <v>-40</v>
      </c>
      <c r="D24" s="25">
        <v>0</v>
      </c>
      <c r="E24" s="27">
        <v>0</v>
      </c>
      <c r="F24" s="24">
        <v>0</v>
      </c>
      <c r="G24" s="24">
        <v>0</v>
      </c>
      <c r="H24" s="24">
        <v>-23</v>
      </c>
      <c r="I24" s="24">
        <v>-23</v>
      </c>
      <c r="J24" s="566">
        <v>0</v>
      </c>
      <c r="K24" s="24">
        <v>0</v>
      </c>
      <c r="L24" s="24">
        <v>8</v>
      </c>
      <c r="M24" s="24">
        <v>0</v>
      </c>
      <c r="N24" s="24">
        <v>0</v>
      </c>
      <c r="O24" s="24">
        <v>8</v>
      </c>
      <c r="Q24" s="27">
        <v>0</v>
      </c>
      <c r="R24" s="313">
        <v>227</v>
      </c>
      <c r="S24" s="313">
        <v>-67</v>
      </c>
      <c r="T24" s="313">
        <v>0</v>
      </c>
      <c r="U24" s="462">
        <v>160</v>
      </c>
      <c r="W24" s="468">
        <v>60</v>
      </c>
      <c r="X24" s="410">
        <v>-100</v>
      </c>
      <c r="Y24" s="410">
        <v>-10</v>
      </c>
      <c r="Z24" s="410">
        <v>50</v>
      </c>
      <c r="AA24" s="258"/>
      <c r="AB24" s="469">
        <v>0</v>
      </c>
    </row>
    <row r="25" spans="1:28" ht="12" customHeight="1">
      <c r="A25" s="36" t="s">
        <v>112</v>
      </c>
      <c r="B25" s="37"/>
      <c r="C25" s="20">
        <f>SUM(C20:C24)</f>
        <v>-222</v>
      </c>
      <c r="D25" s="25">
        <f aca="true" t="shared" si="0" ref="D25:I25">SUM(D20:D24)</f>
        <v>0</v>
      </c>
      <c r="E25" s="20">
        <f t="shared" si="0"/>
        <v>1124</v>
      </c>
      <c r="F25" s="17">
        <f t="shared" si="0"/>
        <v>1846</v>
      </c>
      <c r="G25" s="17">
        <f t="shared" si="0"/>
        <v>406</v>
      </c>
      <c r="H25" s="17">
        <f t="shared" si="0"/>
        <v>307</v>
      </c>
      <c r="I25" s="17">
        <f t="shared" si="0"/>
        <v>3683</v>
      </c>
      <c r="J25" s="566"/>
      <c r="K25" s="17">
        <f>SUM(K20:K24)</f>
        <v>697</v>
      </c>
      <c r="L25" s="17">
        <f>SUM(L20:L24)</f>
        <v>264</v>
      </c>
      <c r="M25" s="17">
        <f>SUM(M20:M24)</f>
        <v>-85</v>
      </c>
      <c r="N25" s="17">
        <f>SUM(N20:N24)</f>
        <v>-690</v>
      </c>
      <c r="O25" s="17">
        <f>SUM(O20:O24)</f>
        <v>186</v>
      </c>
      <c r="Q25" s="20">
        <f>SUM(Q20:Q24)</f>
        <v>-8</v>
      </c>
      <c r="R25" s="312">
        <f>SUM(R20:R24)</f>
        <v>95</v>
      </c>
      <c r="S25" s="312">
        <f>SUM(S20:S24)</f>
        <v>-3</v>
      </c>
      <c r="T25" s="312">
        <f>SUM(T20:T24)</f>
        <v>124</v>
      </c>
      <c r="U25" s="461">
        <f>U20+U21+U22+U23+U24</f>
        <v>208</v>
      </c>
      <c r="W25" s="466">
        <f>SUM(W20:W24)</f>
        <v>661</v>
      </c>
      <c r="X25" s="409">
        <f>SUM(X20:X24)</f>
        <v>131</v>
      </c>
      <c r="Y25" s="409">
        <f>SUM(Y20:Y24)</f>
        <v>-294</v>
      </c>
      <c r="Z25" s="409">
        <v>-546</v>
      </c>
      <c r="AA25" s="255"/>
      <c r="AB25" s="476">
        <f>SUM(AB20:AB24)</f>
        <v>-48</v>
      </c>
    </row>
    <row r="26" spans="1:28" ht="12" customHeight="1">
      <c r="A26" s="44"/>
      <c r="B26" s="37"/>
      <c r="C26" s="40"/>
      <c r="D26" s="18"/>
      <c r="E26" s="40"/>
      <c r="F26" s="39"/>
      <c r="G26" s="39"/>
      <c r="H26" s="39"/>
      <c r="I26" s="39"/>
      <c r="J26" s="566"/>
      <c r="K26" s="39"/>
      <c r="L26" s="39"/>
      <c r="M26" s="39"/>
      <c r="N26" s="39"/>
      <c r="O26" s="18"/>
      <c r="Q26" s="40"/>
      <c r="R26" s="314"/>
      <c r="S26" s="314"/>
      <c r="T26" s="314"/>
      <c r="U26" s="463"/>
      <c r="W26" s="474"/>
      <c r="X26" s="412"/>
      <c r="Y26" s="412"/>
      <c r="Z26" s="412"/>
      <c r="AA26" s="600"/>
      <c r="AB26" s="469"/>
    </row>
    <row r="27" spans="1:28" ht="12" customHeight="1">
      <c r="A27" s="45" t="s">
        <v>114</v>
      </c>
      <c r="B27" s="37"/>
      <c r="C27" s="47">
        <f>C12+C18+C25</f>
        <v>-50</v>
      </c>
      <c r="D27" s="18"/>
      <c r="E27" s="47">
        <f>E12+E18+E25</f>
        <v>397</v>
      </c>
      <c r="F27" s="46">
        <f>F12+F18+F25</f>
        <v>-44</v>
      </c>
      <c r="G27" s="46">
        <f>G12+G18+G25</f>
        <v>158</v>
      </c>
      <c r="H27" s="46">
        <f>H12+H18+H25</f>
        <v>-421</v>
      </c>
      <c r="I27" s="46">
        <f>I12+I18+I25</f>
        <v>90</v>
      </c>
      <c r="J27" s="566"/>
      <c r="K27" s="46">
        <f>K12+K18+K25</f>
        <v>82</v>
      </c>
      <c r="L27" s="46">
        <f>L12+L18+L25</f>
        <v>124</v>
      </c>
      <c r="M27" s="46">
        <f>M12+M18+M25</f>
        <v>-11</v>
      </c>
      <c r="N27" s="46">
        <f>N12+N18+N25</f>
        <v>98</v>
      </c>
      <c r="O27" s="46">
        <f>O12+O18+O25</f>
        <v>293</v>
      </c>
      <c r="Q27" s="47">
        <f>Q12+Q18+Q25</f>
        <v>-112</v>
      </c>
      <c r="R27" s="316">
        <f>R12+R18+R25</f>
        <v>-227</v>
      </c>
      <c r="S27" s="316">
        <f>S12+S18+S25</f>
        <v>6</v>
      </c>
      <c r="T27" s="316">
        <v>109</v>
      </c>
      <c r="U27" s="465">
        <f>U12+U18+U25</f>
        <v>-224</v>
      </c>
      <c r="W27" s="478">
        <f>W12+W18+W25</f>
        <v>-29</v>
      </c>
      <c r="X27" s="413">
        <f>X12+X18+X25</f>
        <v>32</v>
      </c>
      <c r="Y27" s="413">
        <f>Y12+Y18+Y25</f>
        <v>174</v>
      </c>
      <c r="Z27" s="413">
        <f>Z12+Z18+Z25</f>
        <v>191</v>
      </c>
      <c r="AA27" s="255"/>
      <c r="AB27" s="479">
        <f>AB12+AB18+AB25</f>
        <v>368</v>
      </c>
    </row>
    <row r="28" spans="1:28" ht="12" customHeight="1">
      <c r="A28" s="33" t="s">
        <v>115</v>
      </c>
      <c r="B28" s="34"/>
      <c r="C28" s="27">
        <v>12</v>
      </c>
      <c r="D28" s="25"/>
      <c r="E28" s="27">
        <v>-16</v>
      </c>
      <c r="F28" s="24">
        <v>1</v>
      </c>
      <c r="G28" s="24">
        <v>-3</v>
      </c>
      <c r="H28" s="24">
        <v>1</v>
      </c>
      <c r="I28" s="24">
        <v>-17</v>
      </c>
      <c r="J28" s="566"/>
      <c r="K28" s="24">
        <v>21</v>
      </c>
      <c r="L28" s="24">
        <v>7</v>
      </c>
      <c r="M28" s="24">
        <v>-22</v>
      </c>
      <c r="N28" s="24">
        <v>25</v>
      </c>
      <c r="O28" s="24">
        <v>31</v>
      </c>
      <c r="Q28" s="27">
        <v>-25</v>
      </c>
      <c r="R28" s="313">
        <v>0</v>
      </c>
      <c r="S28" s="313">
        <v>0</v>
      </c>
      <c r="T28" s="313">
        <v>1</v>
      </c>
      <c r="U28" s="462">
        <v>-24</v>
      </c>
      <c r="W28" s="468">
        <v>10</v>
      </c>
      <c r="X28" s="410">
        <v>2</v>
      </c>
      <c r="Y28" s="410">
        <v>6</v>
      </c>
      <c r="Z28" s="410">
        <v>7</v>
      </c>
      <c r="AA28" s="258"/>
      <c r="AB28" s="470">
        <v>25</v>
      </c>
    </row>
    <row r="29" spans="1:28" ht="12" customHeight="1">
      <c r="A29" s="33" t="s">
        <v>116</v>
      </c>
      <c r="B29" s="34"/>
      <c r="C29" s="20">
        <v>123</v>
      </c>
      <c r="D29" s="18"/>
      <c r="E29" s="317">
        <v>85</v>
      </c>
      <c r="F29" s="318">
        <v>466</v>
      </c>
      <c r="G29" s="318">
        <v>423</v>
      </c>
      <c r="H29" s="318">
        <v>578</v>
      </c>
      <c r="I29" s="318">
        <v>85</v>
      </c>
      <c r="J29" s="566"/>
      <c r="K29" s="318">
        <v>158</v>
      </c>
      <c r="L29" s="318">
        <v>261</v>
      </c>
      <c r="M29" s="318">
        <v>392</v>
      </c>
      <c r="N29" s="318">
        <v>359</v>
      </c>
      <c r="O29" s="318">
        <v>158</v>
      </c>
      <c r="Q29" s="20">
        <v>482</v>
      </c>
      <c r="R29" s="312">
        <v>345</v>
      </c>
      <c r="S29" s="312">
        <v>118</v>
      </c>
      <c r="T29" s="312">
        <v>124</v>
      </c>
      <c r="U29" s="461">
        <v>482</v>
      </c>
      <c r="W29" s="466">
        <v>234</v>
      </c>
      <c r="X29" s="409">
        <v>215</v>
      </c>
      <c r="Y29" s="409">
        <v>249</v>
      </c>
      <c r="Z29" s="409">
        <v>429</v>
      </c>
      <c r="AA29" s="255"/>
      <c r="AB29" s="473">
        <v>234</v>
      </c>
    </row>
    <row r="30" spans="1:28" ht="12" customHeight="1">
      <c r="A30" s="36" t="s">
        <v>117</v>
      </c>
      <c r="B30" s="37"/>
      <c r="C30" s="20">
        <f>C27+C29+C28</f>
        <v>85</v>
      </c>
      <c r="D30" s="18"/>
      <c r="E30" s="20">
        <f>E27+E29+E28</f>
        <v>466</v>
      </c>
      <c r="F30" s="17">
        <f>F27+F29+F28</f>
        <v>423</v>
      </c>
      <c r="G30" s="17">
        <f>G27+G29+G28</f>
        <v>578</v>
      </c>
      <c r="H30" s="17">
        <f>H27+H29+H28</f>
        <v>158</v>
      </c>
      <c r="I30" s="17">
        <f>I27+I29+I28</f>
        <v>158</v>
      </c>
      <c r="J30" s="567"/>
      <c r="K30" s="17">
        <f aca="true" t="shared" si="1" ref="K30:S30">K27+K29+K28</f>
        <v>261</v>
      </c>
      <c r="L30" s="17">
        <f t="shared" si="1"/>
        <v>392</v>
      </c>
      <c r="M30" s="17">
        <f t="shared" si="1"/>
        <v>359</v>
      </c>
      <c r="N30" s="17">
        <f t="shared" si="1"/>
        <v>482</v>
      </c>
      <c r="O30" s="17">
        <f t="shared" si="1"/>
        <v>482</v>
      </c>
      <c r="P30" s="17">
        <f t="shared" si="1"/>
        <v>0</v>
      </c>
      <c r="Q30" s="20">
        <f t="shared" si="1"/>
        <v>345</v>
      </c>
      <c r="R30" s="17">
        <f t="shared" si="1"/>
        <v>118</v>
      </c>
      <c r="S30" s="17">
        <f t="shared" si="1"/>
        <v>124</v>
      </c>
      <c r="T30" s="17">
        <v>234</v>
      </c>
      <c r="U30" s="461">
        <v>234</v>
      </c>
      <c r="V30" s="17"/>
      <c r="W30" s="466">
        <f>W27+W29+W28</f>
        <v>215</v>
      </c>
      <c r="X30" s="409">
        <f>X27+X29+X28</f>
        <v>249</v>
      </c>
      <c r="Y30" s="409">
        <f>Y27+Y29+Y28</f>
        <v>429</v>
      </c>
      <c r="Z30" s="409">
        <f>Z27+Z29+Z28</f>
        <v>627</v>
      </c>
      <c r="AA30" s="465"/>
      <c r="AB30" s="480">
        <f>AB27+AB29+AB28</f>
        <v>627</v>
      </c>
    </row>
    <row r="31" spans="1:21" ht="12.75">
      <c r="A31" s="48"/>
      <c r="B31" s="49"/>
      <c r="C31" s="50"/>
      <c r="D31" s="50"/>
      <c r="E31" s="50"/>
      <c r="F31" s="50"/>
      <c r="G31" s="50"/>
      <c r="H31" s="50"/>
      <c r="I31" s="50"/>
      <c r="K31" s="50"/>
      <c r="L31" s="50"/>
      <c r="M31" s="50"/>
      <c r="N31" s="50"/>
      <c r="O31" s="50"/>
      <c r="Q31" s="50"/>
      <c r="R31" s="50"/>
      <c r="S31" s="50"/>
      <c r="T31" s="50"/>
      <c r="U31" s="50"/>
    </row>
    <row r="32" spans="1:21" ht="12.75">
      <c r="A32" s="48"/>
      <c r="B32" s="49"/>
      <c r="C32" s="51"/>
      <c r="D32" s="52"/>
      <c r="E32" s="52"/>
      <c r="F32" s="52"/>
      <c r="G32" s="52"/>
      <c r="H32" s="52"/>
      <c r="I32" s="51"/>
      <c r="K32" s="52"/>
      <c r="L32" s="52"/>
      <c r="M32" s="52"/>
      <c r="N32" s="52"/>
      <c r="O32" s="51"/>
      <c r="Q32" s="52"/>
      <c r="R32" s="52"/>
      <c r="S32" s="52"/>
      <c r="T32" s="52"/>
      <c r="U32" s="52"/>
    </row>
    <row r="33" spans="1:21" ht="12.75">
      <c r="A33" s="48"/>
      <c r="B33" s="49"/>
      <c r="C33" s="50"/>
      <c r="D33" s="50"/>
      <c r="E33" s="50"/>
      <c r="F33" s="50"/>
      <c r="G33" s="50"/>
      <c r="H33" s="50"/>
      <c r="I33" s="50"/>
      <c r="K33" s="50"/>
      <c r="L33" s="50"/>
      <c r="M33" s="50"/>
      <c r="N33" s="50"/>
      <c r="O33" s="50"/>
      <c r="Q33" s="50"/>
      <c r="R33" s="50"/>
      <c r="S33" s="50"/>
      <c r="T33" s="50"/>
      <c r="U33" s="50"/>
    </row>
    <row r="34" spans="1:21" ht="12.75">
      <c r="A34" s="48"/>
      <c r="B34" s="49"/>
      <c r="C34" s="50"/>
      <c r="D34" s="319"/>
      <c r="E34" s="319"/>
      <c r="F34" s="319"/>
      <c r="G34" s="319"/>
      <c r="H34" s="319"/>
      <c r="I34" s="50"/>
      <c r="K34" s="319"/>
      <c r="L34" s="319"/>
      <c r="M34" s="319"/>
      <c r="N34" s="319"/>
      <c r="O34" s="50"/>
      <c r="Q34" s="319"/>
      <c r="R34" s="319"/>
      <c r="S34" s="319"/>
      <c r="T34" s="319"/>
      <c r="U34" s="3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K51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51" sqref="A51"/>
    </sheetView>
  </sheetViews>
  <sheetFormatPr defaultColWidth="8.8515625" defaultRowHeight="12.75"/>
  <cols>
    <col min="1" max="1" width="52.28125" style="199" customWidth="1"/>
    <col min="2" max="2" width="0.9921875" style="183" customWidth="1"/>
    <col min="3" max="3" width="11.7109375" style="1" customWidth="1"/>
    <col min="4" max="4" width="0.9921875" style="159" customWidth="1"/>
    <col min="5" max="5" width="11.7109375" style="160" customWidth="1"/>
    <col min="6" max="6" width="0.9921875" style="161" customWidth="1"/>
    <col min="7" max="9" width="11.7109375" style="160" customWidth="1"/>
    <col min="10" max="10" width="11.7109375" style="1" customWidth="1"/>
    <col min="11" max="11" width="0.9921875" style="161" customWidth="1"/>
    <col min="12" max="15" width="8.8515625" style="161" customWidth="1"/>
    <col min="16" max="16" width="9.00390625" style="161" customWidth="1"/>
    <col min="17" max="18" width="8.8515625" style="161" customWidth="1"/>
    <col min="19" max="19" width="1.1484375" style="161" customWidth="1"/>
    <col min="20" max="89" width="8.8515625" style="161" customWidth="1"/>
    <col min="90" max="16384" width="8.8515625" style="160" customWidth="1"/>
  </cols>
  <sheetData>
    <row r="1" spans="1:2" ht="15.75" thickBot="1">
      <c r="A1" s="5" t="s">
        <v>196</v>
      </c>
      <c r="B1" s="8"/>
    </row>
    <row r="2" spans="1:89" s="165" customFormat="1" ht="12" customHeight="1" thickBot="1">
      <c r="A2" s="162"/>
      <c r="B2" s="162"/>
      <c r="C2" s="55">
        <v>2014</v>
      </c>
      <c r="D2" s="56">
        <v>2015</v>
      </c>
      <c r="E2" s="163">
        <v>2015</v>
      </c>
      <c r="F2" s="56"/>
      <c r="G2" s="163" t="s">
        <v>8</v>
      </c>
      <c r="H2" s="163" t="s">
        <v>9</v>
      </c>
      <c r="I2" s="163" t="s">
        <v>10</v>
      </c>
      <c r="J2" s="56">
        <v>2016</v>
      </c>
      <c r="K2" s="56"/>
      <c r="L2" s="163" t="s">
        <v>16</v>
      </c>
      <c r="M2" s="163" t="s">
        <v>17</v>
      </c>
      <c r="N2" s="163" t="s">
        <v>20</v>
      </c>
      <c r="O2" s="163">
        <v>2017</v>
      </c>
      <c r="P2" s="163" t="s">
        <v>28</v>
      </c>
      <c r="Q2" s="163" t="s">
        <v>30</v>
      </c>
      <c r="R2" s="163" t="s">
        <v>35</v>
      </c>
      <c r="S2" s="163"/>
      <c r="T2" s="163">
        <v>2018</v>
      </c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</row>
    <row r="3" spans="1:89" s="165" customFormat="1" ht="12" customHeight="1" thickBot="1">
      <c r="A3" s="137" t="s">
        <v>120</v>
      </c>
      <c r="B3" s="136"/>
      <c r="C3" s="166"/>
      <c r="D3" s="167"/>
      <c r="E3" s="168"/>
      <c r="F3" s="169"/>
      <c r="G3" s="168"/>
      <c r="H3" s="170"/>
      <c r="I3" s="170"/>
      <c r="J3" s="171"/>
      <c r="K3" s="169"/>
      <c r="L3" s="172"/>
      <c r="M3" s="173"/>
      <c r="N3" s="173"/>
      <c r="O3" s="491"/>
      <c r="P3" s="410"/>
      <c r="Q3" s="173"/>
      <c r="R3" s="173"/>
      <c r="S3" s="601"/>
      <c r="T3" s="35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</row>
    <row r="4" spans="1:89" s="181" customFormat="1" ht="12" customHeight="1">
      <c r="A4" s="174" t="s">
        <v>121</v>
      </c>
      <c r="B4" s="175"/>
      <c r="C4" s="166">
        <v>11335</v>
      </c>
      <c r="D4" s="176"/>
      <c r="E4" s="177">
        <v>12845</v>
      </c>
      <c r="F4" s="178"/>
      <c r="G4" s="177">
        <v>13219</v>
      </c>
      <c r="H4" s="179">
        <v>13602</v>
      </c>
      <c r="I4" s="179">
        <v>13893</v>
      </c>
      <c r="J4" s="171">
        <v>14379</v>
      </c>
      <c r="K4" s="178"/>
      <c r="L4" s="180">
        <v>14542</v>
      </c>
      <c r="M4" s="173">
        <v>14676</v>
      </c>
      <c r="N4" s="173">
        <v>14857</v>
      </c>
      <c r="O4" s="491">
        <v>15355</v>
      </c>
      <c r="P4" s="410">
        <v>15373</v>
      </c>
      <c r="Q4" s="173">
        <v>15554</v>
      </c>
      <c r="R4" s="173">
        <v>15674</v>
      </c>
      <c r="S4" s="601"/>
      <c r="T4" s="414">
        <v>16382</v>
      </c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</row>
    <row r="5" spans="1:89" s="181" customFormat="1" ht="12" customHeight="1">
      <c r="A5" s="174" t="s">
        <v>122</v>
      </c>
      <c r="B5" s="175"/>
      <c r="C5" s="166">
        <v>490</v>
      </c>
      <c r="D5" s="176"/>
      <c r="E5" s="177">
        <v>541</v>
      </c>
      <c r="F5" s="178"/>
      <c r="G5" s="177">
        <v>563</v>
      </c>
      <c r="H5" s="179">
        <v>564</v>
      </c>
      <c r="I5" s="179">
        <v>601</v>
      </c>
      <c r="J5" s="171">
        <v>507</v>
      </c>
      <c r="K5" s="178"/>
      <c r="L5" s="180">
        <v>526</v>
      </c>
      <c r="M5" s="173">
        <v>531</v>
      </c>
      <c r="N5" s="173">
        <v>547</v>
      </c>
      <c r="O5" s="491">
        <v>507</v>
      </c>
      <c r="P5" s="410">
        <v>532</v>
      </c>
      <c r="Q5" s="173">
        <v>550</v>
      </c>
      <c r="R5" s="173">
        <v>557</v>
      </c>
      <c r="S5" s="601"/>
      <c r="T5" s="6">
        <v>576</v>
      </c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</row>
    <row r="6" spans="1:89" s="181" customFormat="1" ht="12" customHeight="1">
      <c r="A6" s="182" t="s">
        <v>123</v>
      </c>
      <c r="B6" s="183"/>
      <c r="C6" s="177">
        <f>+C4+C5</f>
        <v>11825</v>
      </c>
      <c r="D6" s="176"/>
      <c r="E6" s="177">
        <f>+E4+E5</f>
        <v>13386</v>
      </c>
      <c r="F6" s="178"/>
      <c r="G6" s="177">
        <f>+G4+G5</f>
        <v>13782</v>
      </c>
      <c r="H6" s="179">
        <f>+H4+H5</f>
        <v>14166</v>
      </c>
      <c r="I6" s="179">
        <f>+I4+I5</f>
        <v>14494</v>
      </c>
      <c r="J6" s="171">
        <f>+J4+J5</f>
        <v>14886</v>
      </c>
      <c r="K6" s="178"/>
      <c r="L6" s="180">
        <f aca="true" t="shared" si="0" ref="L6:Q6">+L4+L5</f>
        <v>15068</v>
      </c>
      <c r="M6" s="173">
        <f t="shared" si="0"/>
        <v>15207</v>
      </c>
      <c r="N6" s="173">
        <f t="shared" si="0"/>
        <v>15404</v>
      </c>
      <c r="O6" s="491">
        <f t="shared" si="0"/>
        <v>15862</v>
      </c>
      <c r="P6" s="410">
        <f t="shared" si="0"/>
        <v>15905</v>
      </c>
      <c r="Q6" s="173">
        <f t="shared" si="0"/>
        <v>16104</v>
      </c>
      <c r="R6" s="173">
        <f>+R4+R5</f>
        <v>16231</v>
      </c>
      <c r="S6" s="601"/>
      <c r="T6" s="35">
        <f>+T4+T5</f>
        <v>16958</v>
      </c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</row>
    <row r="7" spans="1:89" s="181" customFormat="1" ht="12" customHeight="1">
      <c r="A7" s="174" t="s">
        <v>124</v>
      </c>
      <c r="B7" s="175"/>
      <c r="C7" s="166">
        <v>227</v>
      </c>
      <c r="D7" s="176"/>
      <c r="E7" s="177">
        <v>233</v>
      </c>
      <c r="F7" s="178"/>
      <c r="G7" s="177">
        <v>228</v>
      </c>
      <c r="H7" s="179">
        <v>225</v>
      </c>
      <c r="I7" s="179">
        <v>226</v>
      </c>
      <c r="J7" s="171">
        <v>77</v>
      </c>
      <c r="K7" s="178"/>
      <c r="L7" s="180">
        <v>72</v>
      </c>
      <c r="M7" s="173">
        <v>69</v>
      </c>
      <c r="N7" s="173">
        <v>67</v>
      </c>
      <c r="O7" s="491">
        <v>75</v>
      </c>
      <c r="P7" s="410">
        <v>71</v>
      </c>
      <c r="Q7" s="173">
        <v>69</v>
      </c>
      <c r="R7" s="173">
        <v>71</v>
      </c>
      <c r="S7" s="601"/>
      <c r="T7" s="414">
        <v>92</v>
      </c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</row>
    <row r="8" spans="1:89" s="181" customFormat="1" ht="12" customHeight="1">
      <c r="A8" s="174" t="s">
        <v>125</v>
      </c>
      <c r="B8" s="175"/>
      <c r="C8" s="166">
        <v>21</v>
      </c>
      <c r="D8" s="176"/>
      <c r="E8" s="177">
        <v>24</v>
      </c>
      <c r="F8" s="178"/>
      <c r="G8" s="177">
        <v>22</v>
      </c>
      <c r="H8" s="179">
        <v>22</v>
      </c>
      <c r="I8" s="179">
        <v>20</v>
      </c>
      <c r="J8" s="171">
        <v>24</v>
      </c>
      <c r="K8" s="178"/>
      <c r="L8" s="180">
        <v>23</v>
      </c>
      <c r="M8" s="173">
        <v>22</v>
      </c>
      <c r="N8" s="173">
        <v>22</v>
      </c>
      <c r="O8" s="491">
        <v>34</v>
      </c>
      <c r="P8" s="410">
        <v>32</v>
      </c>
      <c r="Q8" s="173">
        <v>34</v>
      </c>
      <c r="R8" s="173">
        <v>34</v>
      </c>
      <c r="S8" s="601"/>
      <c r="T8" s="6">
        <v>52</v>
      </c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</row>
    <row r="9" spans="1:89" s="181" customFormat="1" ht="12" customHeight="1">
      <c r="A9" s="182" t="s">
        <v>126</v>
      </c>
      <c r="B9" s="183"/>
      <c r="C9" s="177">
        <f>+C7+C8</f>
        <v>248</v>
      </c>
      <c r="D9" s="176"/>
      <c r="E9" s="177">
        <f>+E7+E8</f>
        <v>257</v>
      </c>
      <c r="F9" s="178"/>
      <c r="G9" s="177">
        <f>+G7+G8</f>
        <v>250</v>
      </c>
      <c r="H9" s="179">
        <f>+H7+H8</f>
        <v>247</v>
      </c>
      <c r="I9" s="179">
        <f>+I7+I8</f>
        <v>246</v>
      </c>
      <c r="J9" s="171">
        <f>+J7+J8</f>
        <v>101</v>
      </c>
      <c r="K9" s="178"/>
      <c r="L9" s="180">
        <f aca="true" t="shared" si="1" ref="L9:Q9">+L7+L8</f>
        <v>95</v>
      </c>
      <c r="M9" s="173">
        <f t="shared" si="1"/>
        <v>91</v>
      </c>
      <c r="N9" s="173">
        <f t="shared" si="1"/>
        <v>89</v>
      </c>
      <c r="O9" s="491">
        <f t="shared" si="1"/>
        <v>109</v>
      </c>
      <c r="P9" s="410">
        <f t="shared" si="1"/>
        <v>103</v>
      </c>
      <c r="Q9" s="173">
        <f t="shared" si="1"/>
        <v>103</v>
      </c>
      <c r="R9" s="173">
        <f>+R7+R8</f>
        <v>105</v>
      </c>
      <c r="S9" s="601"/>
      <c r="T9" s="35">
        <f>+T7+T8</f>
        <v>144</v>
      </c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</row>
    <row r="10" spans="1:89" s="181" customFormat="1" ht="12" customHeight="1">
      <c r="A10" s="182" t="s">
        <v>197</v>
      </c>
      <c r="B10" s="183"/>
      <c r="C10" s="166">
        <v>11778</v>
      </c>
      <c r="D10" s="176"/>
      <c r="E10" s="177">
        <v>6858</v>
      </c>
      <c r="F10" s="178"/>
      <c r="G10" s="177">
        <v>6859</v>
      </c>
      <c r="H10" s="179">
        <v>6863</v>
      </c>
      <c r="I10" s="179">
        <v>6858</v>
      </c>
      <c r="J10" s="171">
        <v>2002</v>
      </c>
      <c r="K10" s="178"/>
      <c r="L10" s="180">
        <v>2002</v>
      </c>
      <c r="M10" s="173">
        <v>3370</v>
      </c>
      <c r="N10" s="173">
        <v>3361</v>
      </c>
      <c r="O10" s="491">
        <v>3013</v>
      </c>
      <c r="P10" s="410">
        <v>3013</v>
      </c>
      <c r="Q10" s="173">
        <v>3013</v>
      </c>
      <c r="R10" s="173">
        <v>3020</v>
      </c>
      <c r="S10" s="601"/>
      <c r="T10" s="414">
        <v>3510</v>
      </c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</row>
    <row r="11" spans="1:89" s="181" customFormat="1" ht="12" customHeight="1">
      <c r="A11" s="174" t="s">
        <v>193</v>
      </c>
      <c r="B11" s="175"/>
      <c r="C11" s="166">
        <v>2042</v>
      </c>
      <c r="D11" s="176"/>
      <c r="E11" s="177">
        <v>6750</v>
      </c>
      <c r="F11" s="178"/>
      <c r="G11" s="177">
        <v>6766</v>
      </c>
      <c r="H11" s="179">
        <v>7375</v>
      </c>
      <c r="I11" s="179">
        <v>7362</v>
      </c>
      <c r="J11" s="171">
        <v>7310</v>
      </c>
      <c r="K11" s="178"/>
      <c r="L11" s="180">
        <v>6996</v>
      </c>
      <c r="M11" s="173">
        <v>5511</v>
      </c>
      <c r="N11" s="173">
        <v>5505</v>
      </c>
      <c r="O11" s="491">
        <v>4972</v>
      </c>
      <c r="P11" s="410">
        <v>4780</v>
      </c>
      <c r="Q11" s="173">
        <v>5580</v>
      </c>
      <c r="R11" s="173">
        <v>5559</v>
      </c>
      <c r="S11" s="601"/>
      <c r="T11" s="6">
        <v>6262</v>
      </c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</row>
    <row r="12" spans="1:89" s="181" customFormat="1" ht="12" customHeight="1">
      <c r="A12" s="174" t="s">
        <v>198</v>
      </c>
      <c r="B12" s="175"/>
      <c r="C12" s="166">
        <v>190</v>
      </c>
      <c r="D12" s="176"/>
      <c r="E12" s="177">
        <v>117</v>
      </c>
      <c r="F12" s="178"/>
      <c r="G12" s="177">
        <v>132</v>
      </c>
      <c r="H12" s="179">
        <v>67</v>
      </c>
      <c r="I12" s="179">
        <v>57</v>
      </c>
      <c r="J12" s="171">
        <v>237</v>
      </c>
      <c r="K12" s="178"/>
      <c r="L12" s="180">
        <v>162</v>
      </c>
      <c r="M12" s="173">
        <v>137</v>
      </c>
      <c r="N12" s="173">
        <v>182</v>
      </c>
      <c r="O12" s="491">
        <v>109</v>
      </c>
      <c r="P12" s="410">
        <v>212</v>
      </c>
      <c r="Q12" s="173">
        <v>328</v>
      </c>
      <c r="R12" s="173">
        <v>398</v>
      </c>
      <c r="S12" s="601"/>
      <c r="T12" s="35">
        <v>319</v>
      </c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</row>
    <row r="13" spans="1:89" s="181" customFormat="1" ht="12" customHeight="1">
      <c r="A13" s="174" t="s">
        <v>130</v>
      </c>
      <c r="B13" s="175"/>
      <c r="C13" s="166">
        <v>931</v>
      </c>
      <c r="D13" s="176"/>
      <c r="E13" s="177">
        <v>579</v>
      </c>
      <c r="F13" s="178"/>
      <c r="G13" s="177">
        <v>602</v>
      </c>
      <c r="H13" s="179">
        <v>571</v>
      </c>
      <c r="I13" s="179">
        <v>527</v>
      </c>
      <c r="J13" s="171">
        <v>576</v>
      </c>
      <c r="K13" s="178"/>
      <c r="L13" s="180">
        <v>676</v>
      </c>
      <c r="M13" s="173">
        <v>712</v>
      </c>
      <c r="N13" s="173">
        <v>741</v>
      </c>
      <c r="O13" s="491">
        <v>613</v>
      </c>
      <c r="P13" s="410">
        <v>534</v>
      </c>
      <c r="Q13" s="173">
        <v>508</v>
      </c>
      <c r="R13" s="173">
        <v>419</v>
      </c>
      <c r="S13" s="601"/>
      <c r="T13" s="414">
        <v>496</v>
      </c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</row>
    <row r="14" spans="1:89" s="181" customFormat="1" ht="12" customHeight="1">
      <c r="A14" s="174" t="s">
        <v>131</v>
      </c>
      <c r="B14" s="175"/>
      <c r="C14" s="166">
        <v>266</v>
      </c>
      <c r="D14" s="176"/>
      <c r="E14" s="177">
        <v>291</v>
      </c>
      <c r="F14" s="178"/>
      <c r="G14" s="177">
        <v>317</v>
      </c>
      <c r="H14" s="179">
        <v>318</v>
      </c>
      <c r="I14" s="179">
        <v>319</v>
      </c>
      <c r="J14" s="171">
        <v>320</v>
      </c>
      <c r="K14" s="178"/>
      <c r="L14" s="180">
        <v>346</v>
      </c>
      <c r="M14" s="173">
        <v>346</v>
      </c>
      <c r="N14" s="173">
        <v>348</v>
      </c>
      <c r="O14" s="491">
        <v>337</v>
      </c>
      <c r="P14" s="410">
        <v>375</v>
      </c>
      <c r="Q14" s="173">
        <v>365</v>
      </c>
      <c r="R14" s="173">
        <v>366</v>
      </c>
      <c r="S14" s="601"/>
      <c r="T14" s="414">
        <v>376</v>
      </c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</row>
    <row r="15" spans="1:89" s="181" customFormat="1" ht="12" customHeight="1">
      <c r="A15" s="182" t="s">
        <v>132</v>
      </c>
      <c r="B15" s="183"/>
      <c r="C15" s="177">
        <f>+C12+C13+C14+C11</f>
        <v>3429</v>
      </c>
      <c r="D15" s="176"/>
      <c r="E15" s="177">
        <f>+E12+E13+E14+E11</f>
        <v>7737</v>
      </c>
      <c r="F15" s="178"/>
      <c r="G15" s="177">
        <f>+G12+G13+G14+G11</f>
        <v>7817</v>
      </c>
      <c r="H15" s="179">
        <f>+H12+H13+H14+H11</f>
        <v>8331</v>
      </c>
      <c r="I15" s="179">
        <f>+I12+I13+I14+I11</f>
        <v>8265</v>
      </c>
      <c r="J15" s="171">
        <f>+J12+J13+J14+J11</f>
        <v>8443</v>
      </c>
      <c r="K15" s="178"/>
      <c r="L15" s="180">
        <f aca="true" t="shared" si="2" ref="L15:Q15">+L12+L13+L14+L11</f>
        <v>8180</v>
      </c>
      <c r="M15" s="173">
        <f t="shared" si="2"/>
        <v>6706</v>
      </c>
      <c r="N15" s="173">
        <f t="shared" si="2"/>
        <v>6776</v>
      </c>
      <c r="O15" s="491">
        <f t="shared" si="2"/>
        <v>6031</v>
      </c>
      <c r="P15" s="410">
        <f t="shared" si="2"/>
        <v>5901</v>
      </c>
      <c r="Q15" s="173">
        <f t="shared" si="2"/>
        <v>6781</v>
      </c>
      <c r="R15" s="173">
        <f>+R12+R13+R14+R11</f>
        <v>6742</v>
      </c>
      <c r="S15" s="601"/>
      <c r="T15" s="6">
        <f>+T12+T13+T14+T11</f>
        <v>7453</v>
      </c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</row>
    <row r="16" spans="1:89" s="181" customFormat="1" ht="12" customHeight="1">
      <c r="A16" s="182" t="s">
        <v>134</v>
      </c>
      <c r="B16" s="183"/>
      <c r="C16" s="166">
        <v>48</v>
      </c>
      <c r="D16" s="176"/>
      <c r="E16" s="177">
        <v>27</v>
      </c>
      <c r="F16" s="178"/>
      <c r="G16" s="177">
        <v>19</v>
      </c>
      <c r="H16" s="179">
        <v>20</v>
      </c>
      <c r="I16" s="179">
        <v>23</v>
      </c>
      <c r="J16" s="171">
        <v>22</v>
      </c>
      <c r="K16" s="178"/>
      <c r="L16" s="180">
        <v>25</v>
      </c>
      <c r="M16" s="173">
        <v>27</v>
      </c>
      <c r="N16" s="173">
        <v>24</v>
      </c>
      <c r="O16" s="491">
        <v>25</v>
      </c>
      <c r="P16" s="410">
        <v>24</v>
      </c>
      <c r="Q16" s="173">
        <v>22</v>
      </c>
      <c r="R16" s="173">
        <v>35</v>
      </c>
      <c r="S16" s="601"/>
      <c r="T16" s="35">
        <v>24</v>
      </c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</row>
    <row r="17" spans="1:89" s="181" customFormat="1" ht="12" customHeight="1">
      <c r="A17" s="182" t="s">
        <v>133</v>
      </c>
      <c r="B17" s="183"/>
      <c r="C17" s="166">
        <v>111</v>
      </c>
      <c r="D17" s="176"/>
      <c r="E17" s="177">
        <v>141</v>
      </c>
      <c r="F17" s="178"/>
      <c r="G17" s="177">
        <v>145</v>
      </c>
      <c r="H17" s="179">
        <v>197</v>
      </c>
      <c r="I17" s="179">
        <v>108</v>
      </c>
      <c r="J17" s="171">
        <v>140</v>
      </c>
      <c r="K17" s="178"/>
      <c r="L17" s="180">
        <v>129</v>
      </c>
      <c r="M17" s="173">
        <v>57</v>
      </c>
      <c r="N17" s="173">
        <v>30</v>
      </c>
      <c r="O17" s="491">
        <v>31</v>
      </c>
      <c r="P17" s="410">
        <v>110</v>
      </c>
      <c r="Q17" s="173">
        <v>140</v>
      </c>
      <c r="R17" s="173">
        <v>94</v>
      </c>
      <c r="S17" s="601"/>
      <c r="T17" s="414">
        <v>9</v>
      </c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</row>
    <row r="18" spans="1:89" s="181" customFormat="1" ht="12" customHeight="1">
      <c r="A18" s="137" t="s">
        <v>135</v>
      </c>
      <c r="B18" s="136"/>
      <c r="C18" s="184">
        <f>+C6+C9+C10+C12+C13+C14+C17+C16+C11</f>
        <v>27439</v>
      </c>
      <c r="D18" s="185"/>
      <c r="E18" s="184">
        <f>+E6+E9+E10+E12+E13+E14+E17+E16+E11</f>
        <v>28406</v>
      </c>
      <c r="F18" s="186"/>
      <c r="G18" s="184">
        <f>+G6+G9+G10+G12+G13+G14+G17+G16+G11</f>
        <v>28872</v>
      </c>
      <c r="H18" s="187">
        <f>+H6+H9+H10+H12+H13+H14+H17+H16+H11</f>
        <v>29824</v>
      </c>
      <c r="I18" s="187">
        <f>+I6+I9+I10+I12+I13+I14+I17+I16+I11</f>
        <v>29994</v>
      </c>
      <c r="J18" s="188">
        <f>+J6+J9+J10+J12+J13+J14+J17+J16+J11</f>
        <v>25594</v>
      </c>
      <c r="K18" s="186"/>
      <c r="L18" s="189">
        <f aca="true" t="shared" si="3" ref="L18:Q18">+L6+L9+L10+L12+L13+L14+L17+L16+L11</f>
        <v>25499</v>
      </c>
      <c r="M18" s="190">
        <f t="shared" si="3"/>
        <v>25458</v>
      </c>
      <c r="N18" s="190">
        <f t="shared" si="3"/>
        <v>25684</v>
      </c>
      <c r="O18" s="492">
        <f t="shared" si="3"/>
        <v>25071</v>
      </c>
      <c r="P18" s="409">
        <f t="shared" si="3"/>
        <v>25056</v>
      </c>
      <c r="Q18" s="190">
        <f t="shared" si="3"/>
        <v>26163</v>
      </c>
      <c r="R18" s="190">
        <f>+R6+R9+R10+R12+R13+R14+R17+R16+R11</f>
        <v>26227</v>
      </c>
      <c r="S18" s="602"/>
      <c r="T18" s="3">
        <f>+T6+T9+T10+T12+T13+T14+T17+T16+T11</f>
        <v>28098</v>
      </c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</row>
    <row r="19" spans="1:89" s="181" customFormat="1" ht="12" customHeight="1">
      <c r="A19" s="182" t="s">
        <v>136</v>
      </c>
      <c r="B19" s="183"/>
      <c r="C19" s="166">
        <v>2377</v>
      </c>
      <c r="D19" s="176"/>
      <c r="E19" s="177">
        <v>2601</v>
      </c>
      <c r="F19" s="178"/>
      <c r="G19" s="177">
        <v>3156</v>
      </c>
      <c r="H19" s="179">
        <v>3261</v>
      </c>
      <c r="I19" s="179">
        <v>3408</v>
      </c>
      <c r="J19" s="171">
        <v>2726</v>
      </c>
      <c r="K19" s="178"/>
      <c r="L19" s="180">
        <v>3472</v>
      </c>
      <c r="M19" s="173">
        <v>3783</v>
      </c>
      <c r="N19" s="173">
        <v>4154</v>
      </c>
      <c r="O19" s="491">
        <v>3857</v>
      </c>
      <c r="P19" s="410">
        <v>4651</v>
      </c>
      <c r="Q19" s="173">
        <v>4627</v>
      </c>
      <c r="R19" s="173">
        <v>4588</v>
      </c>
      <c r="S19" s="601"/>
      <c r="T19" s="6">
        <v>4102</v>
      </c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</row>
    <row r="20" spans="1:89" s="181" customFormat="1" ht="12" customHeight="1">
      <c r="A20" s="182" t="s">
        <v>137</v>
      </c>
      <c r="B20" s="183"/>
      <c r="C20" s="166">
        <v>1407</v>
      </c>
      <c r="D20" s="176"/>
      <c r="E20" s="177">
        <v>1000</v>
      </c>
      <c r="F20" s="178"/>
      <c r="G20" s="177">
        <v>511</v>
      </c>
      <c r="H20" s="179">
        <v>629</v>
      </c>
      <c r="I20" s="179">
        <v>450</v>
      </c>
      <c r="J20" s="171">
        <v>676</v>
      </c>
      <c r="K20" s="178"/>
      <c r="L20" s="180">
        <v>750</v>
      </c>
      <c r="M20" s="173">
        <v>665</v>
      </c>
      <c r="N20" s="173">
        <v>700</v>
      </c>
      <c r="O20" s="491">
        <v>1034</v>
      </c>
      <c r="P20" s="410">
        <v>730</v>
      </c>
      <c r="Q20" s="173">
        <v>683</v>
      </c>
      <c r="R20" s="173">
        <v>782</v>
      </c>
      <c r="S20" s="601"/>
      <c r="T20" s="35">
        <v>310</v>
      </c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</row>
    <row r="21" spans="1:89" s="181" customFormat="1" ht="12" customHeight="1">
      <c r="A21" s="182" t="s">
        <v>138</v>
      </c>
      <c r="B21" s="183"/>
      <c r="C21" s="166">
        <v>312</v>
      </c>
      <c r="D21" s="176"/>
      <c r="E21" s="177">
        <v>412</v>
      </c>
      <c r="F21" s="178"/>
      <c r="G21" s="177">
        <v>264</v>
      </c>
      <c r="H21" s="179">
        <v>256</v>
      </c>
      <c r="I21" s="179">
        <v>204</v>
      </c>
      <c r="J21" s="171">
        <v>188</v>
      </c>
      <c r="K21" s="178"/>
      <c r="L21" s="180">
        <v>148</v>
      </c>
      <c r="M21" s="173">
        <v>166</v>
      </c>
      <c r="N21" s="173">
        <v>162</v>
      </c>
      <c r="O21" s="491">
        <v>214</v>
      </c>
      <c r="P21" s="410">
        <v>160</v>
      </c>
      <c r="Q21" s="173">
        <v>166</v>
      </c>
      <c r="R21" s="173">
        <v>167</v>
      </c>
      <c r="S21" s="601"/>
      <c r="T21" s="414">
        <v>275</v>
      </c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</row>
    <row r="22" spans="1:89" s="181" customFormat="1" ht="12" customHeight="1">
      <c r="A22" s="182" t="s">
        <v>129</v>
      </c>
      <c r="B22" s="183"/>
      <c r="C22" s="166">
        <v>267</v>
      </c>
      <c r="D22" s="176"/>
      <c r="E22" s="177">
        <v>6</v>
      </c>
      <c r="F22" s="178"/>
      <c r="G22" s="177">
        <v>80</v>
      </c>
      <c r="H22" s="179">
        <v>33</v>
      </c>
      <c r="I22" s="179">
        <v>56</v>
      </c>
      <c r="J22" s="171">
        <v>72</v>
      </c>
      <c r="K22" s="178"/>
      <c r="L22" s="180">
        <v>76</v>
      </c>
      <c r="M22" s="173">
        <v>99</v>
      </c>
      <c r="N22" s="173">
        <v>109</v>
      </c>
      <c r="O22" s="491">
        <v>195</v>
      </c>
      <c r="P22" s="410">
        <v>263</v>
      </c>
      <c r="Q22" s="173">
        <v>158</v>
      </c>
      <c r="R22" s="173">
        <v>243</v>
      </c>
      <c r="S22" s="601"/>
      <c r="T22" s="414">
        <v>300</v>
      </c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</row>
    <row r="23" spans="1:89" s="181" customFormat="1" ht="12" customHeight="1">
      <c r="A23" s="182" t="s">
        <v>139</v>
      </c>
      <c r="B23" s="183"/>
      <c r="C23" s="166">
        <v>425</v>
      </c>
      <c r="D23" s="176"/>
      <c r="E23" s="177">
        <v>537</v>
      </c>
      <c r="F23" s="178"/>
      <c r="G23" s="177">
        <v>680</v>
      </c>
      <c r="H23" s="179">
        <v>618</v>
      </c>
      <c r="I23" s="179">
        <v>595</v>
      </c>
      <c r="J23" s="171">
        <v>362</v>
      </c>
      <c r="K23" s="178"/>
      <c r="L23" s="180">
        <v>258</v>
      </c>
      <c r="M23" s="173">
        <v>439</v>
      </c>
      <c r="N23" s="173">
        <v>399</v>
      </c>
      <c r="O23" s="491">
        <v>342</v>
      </c>
      <c r="P23" s="410">
        <v>405</v>
      </c>
      <c r="Q23" s="173">
        <v>693</v>
      </c>
      <c r="R23" s="173">
        <f>476+93</f>
        <v>569</v>
      </c>
      <c r="S23" s="601"/>
      <c r="T23" s="414">
        <v>538</v>
      </c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</row>
    <row r="24" spans="1:89" s="181" customFormat="1" ht="12" customHeight="1">
      <c r="A24" s="182" t="s">
        <v>140</v>
      </c>
      <c r="B24" s="183"/>
      <c r="C24" s="166">
        <v>85</v>
      </c>
      <c r="D24" s="176"/>
      <c r="E24" s="177">
        <v>158</v>
      </c>
      <c r="F24" s="178"/>
      <c r="G24" s="177">
        <v>261</v>
      </c>
      <c r="H24" s="179">
        <v>392</v>
      </c>
      <c r="I24" s="179">
        <v>359</v>
      </c>
      <c r="J24" s="171">
        <v>482</v>
      </c>
      <c r="K24" s="178"/>
      <c r="L24" s="180">
        <v>345</v>
      </c>
      <c r="M24" s="173">
        <v>118</v>
      </c>
      <c r="N24" s="173">
        <v>124</v>
      </c>
      <c r="O24" s="491">
        <v>234</v>
      </c>
      <c r="P24" s="410">
        <v>215</v>
      </c>
      <c r="Q24" s="173">
        <v>249</v>
      </c>
      <c r="R24" s="173">
        <v>429</v>
      </c>
      <c r="S24" s="601"/>
      <c r="T24" s="414">
        <v>627</v>
      </c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</row>
    <row r="25" spans="1:89" s="181" customFormat="1" ht="12" customHeight="1" thickBot="1">
      <c r="A25" s="137" t="s">
        <v>141</v>
      </c>
      <c r="B25" s="136"/>
      <c r="C25" s="184">
        <f>+C19+C20+C21+C22+C23+C24</f>
        <v>4873</v>
      </c>
      <c r="D25" s="185"/>
      <c r="E25" s="184">
        <f>+E19+E20+E21+E22+E23+E24</f>
        <v>4714</v>
      </c>
      <c r="F25" s="186"/>
      <c r="G25" s="184">
        <f>+G19+G20+G21+G22+G23+G24</f>
        <v>4952</v>
      </c>
      <c r="H25" s="187">
        <f>+H19+H20+H21+H22+H23+H24</f>
        <v>5189</v>
      </c>
      <c r="I25" s="187">
        <f>+I19+I20+I21+I22+I23+I24</f>
        <v>5072</v>
      </c>
      <c r="J25" s="188">
        <f>+J19+J20+J21+J22+J23+J24</f>
        <v>4506</v>
      </c>
      <c r="K25" s="186"/>
      <c r="L25" s="189">
        <f aca="true" t="shared" si="4" ref="L25:Q25">+L19+L20+L21+L22+L23+L24</f>
        <v>5049</v>
      </c>
      <c r="M25" s="190">
        <f t="shared" si="4"/>
        <v>5270</v>
      </c>
      <c r="N25" s="190">
        <f t="shared" si="4"/>
        <v>5648</v>
      </c>
      <c r="O25" s="492">
        <f t="shared" si="4"/>
        <v>5876</v>
      </c>
      <c r="P25" s="409">
        <f t="shared" si="4"/>
        <v>6424</v>
      </c>
      <c r="Q25" s="190">
        <f t="shared" si="4"/>
        <v>6576</v>
      </c>
      <c r="R25" s="190">
        <f>+R19+R20+R21+R22+R23+R24</f>
        <v>6778</v>
      </c>
      <c r="S25" s="602"/>
      <c r="T25" s="3">
        <f>+T19+T20+T21+T22+T23+T24</f>
        <v>6152</v>
      </c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</row>
    <row r="26" spans="1:89" s="192" customFormat="1" ht="12" customHeight="1" thickBot="1">
      <c r="A26" s="137" t="s">
        <v>142</v>
      </c>
      <c r="B26" s="136"/>
      <c r="C26" s="184">
        <f>C18+C25</f>
        <v>32312</v>
      </c>
      <c r="D26" s="185"/>
      <c r="E26" s="184">
        <f>E18+E25</f>
        <v>33120</v>
      </c>
      <c r="F26" s="186"/>
      <c r="G26" s="184">
        <f>G18+G25</f>
        <v>33824</v>
      </c>
      <c r="H26" s="187">
        <f>H18+H25</f>
        <v>35013</v>
      </c>
      <c r="I26" s="187">
        <f>I18+I25</f>
        <v>35066</v>
      </c>
      <c r="J26" s="188">
        <f>J18+J25</f>
        <v>30100</v>
      </c>
      <c r="K26" s="186"/>
      <c r="L26" s="189">
        <f aca="true" t="shared" si="5" ref="L26:Q26">L18+L25</f>
        <v>30548</v>
      </c>
      <c r="M26" s="190">
        <f t="shared" si="5"/>
        <v>30728</v>
      </c>
      <c r="N26" s="190">
        <f t="shared" si="5"/>
        <v>31332</v>
      </c>
      <c r="O26" s="492">
        <f t="shared" si="5"/>
        <v>30947</v>
      </c>
      <c r="P26" s="409">
        <f t="shared" si="5"/>
        <v>31480</v>
      </c>
      <c r="Q26" s="190">
        <f t="shared" si="5"/>
        <v>32739</v>
      </c>
      <c r="R26" s="190">
        <f>R18+R25</f>
        <v>33005</v>
      </c>
      <c r="S26" s="602"/>
      <c r="T26" s="3">
        <f>T18+T25</f>
        <v>34250</v>
      </c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</row>
    <row r="27" spans="1:20" s="195" customFormat="1" ht="6" customHeight="1">
      <c r="A27" s="162"/>
      <c r="B27" s="162"/>
      <c r="C27" s="193"/>
      <c r="D27" s="185"/>
      <c r="E27" s="194"/>
      <c r="F27" s="186"/>
      <c r="G27" s="194"/>
      <c r="H27" s="186"/>
      <c r="I27" s="186"/>
      <c r="J27" s="188"/>
      <c r="K27" s="186"/>
      <c r="L27" s="189"/>
      <c r="M27" s="190"/>
      <c r="N27" s="190"/>
      <c r="O27" s="492"/>
      <c r="P27" s="409"/>
      <c r="Q27" s="190"/>
      <c r="R27" s="190"/>
      <c r="S27" s="602"/>
      <c r="T27" s="3"/>
    </row>
    <row r="28" spans="1:89" s="181" customFormat="1" ht="12" customHeight="1">
      <c r="A28" s="137" t="s">
        <v>143</v>
      </c>
      <c r="B28" s="136"/>
      <c r="C28" s="196"/>
      <c r="D28" s="197"/>
      <c r="E28" s="184"/>
      <c r="F28" s="186"/>
      <c r="G28" s="184"/>
      <c r="H28" s="187"/>
      <c r="I28" s="187"/>
      <c r="J28" s="188"/>
      <c r="K28" s="186"/>
      <c r="L28" s="189"/>
      <c r="M28" s="173"/>
      <c r="N28" s="173"/>
      <c r="O28" s="491"/>
      <c r="P28" s="410"/>
      <c r="Q28" s="173"/>
      <c r="R28" s="173"/>
      <c r="S28" s="601"/>
      <c r="T28" s="6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</row>
    <row r="29" spans="1:89" s="181" customFormat="1" ht="12" customHeight="1">
      <c r="A29" s="182" t="s">
        <v>144</v>
      </c>
      <c r="B29" s="183"/>
      <c r="C29" s="166">
        <v>2000</v>
      </c>
      <c r="D29" s="176"/>
      <c r="E29" s="177">
        <v>2000</v>
      </c>
      <c r="F29" s="178"/>
      <c r="G29" s="177">
        <v>2000</v>
      </c>
      <c r="H29" s="179">
        <v>2000</v>
      </c>
      <c r="I29" s="179">
        <v>2000</v>
      </c>
      <c r="J29" s="171">
        <v>2000</v>
      </c>
      <c r="K29" s="178"/>
      <c r="L29" s="180">
        <v>2000</v>
      </c>
      <c r="M29" s="173">
        <v>2000</v>
      </c>
      <c r="N29" s="173">
        <v>2000</v>
      </c>
      <c r="O29" s="491">
        <v>2000</v>
      </c>
      <c r="P29" s="410">
        <v>2000</v>
      </c>
      <c r="Q29" s="173">
        <v>2000</v>
      </c>
      <c r="R29" s="173">
        <v>2000</v>
      </c>
      <c r="S29" s="601"/>
      <c r="T29" s="35">
        <v>2000</v>
      </c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</row>
    <row r="30" spans="1:89" s="181" customFormat="1" ht="12" customHeight="1">
      <c r="A30" s="182" t="s">
        <v>145</v>
      </c>
      <c r="B30" s="183"/>
      <c r="C30" s="166">
        <v>366</v>
      </c>
      <c r="D30" s="176"/>
      <c r="E30" s="177">
        <v>-103</v>
      </c>
      <c r="F30" s="178"/>
      <c r="G30" s="177">
        <v>9</v>
      </c>
      <c r="H30" s="179">
        <v>-83</v>
      </c>
      <c r="I30" s="179">
        <v>-88</v>
      </c>
      <c r="J30" s="171">
        <v>-196</v>
      </c>
      <c r="K30" s="178"/>
      <c r="L30" s="180">
        <v>8</v>
      </c>
      <c r="M30" s="173">
        <v>87</v>
      </c>
      <c r="N30" s="173">
        <v>144</v>
      </c>
      <c r="O30" s="491">
        <v>142</v>
      </c>
      <c r="P30" s="410">
        <v>-439</v>
      </c>
      <c r="Q30" s="173">
        <v>-518</v>
      </c>
      <c r="R30" s="173">
        <v>-419</v>
      </c>
      <c r="S30" s="601"/>
      <c r="T30" s="414">
        <v>-307</v>
      </c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</row>
    <row r="31" spans="1:89" s="181" customFormat="1" ht="12" customHeight="1">
      <c r="A31" s="182" t="s">
        <v>146</v>
      </c>
      <c r="B31" s="183"/>
      <c r="C31" s="166">
        <v>-401</v>
      </c>
      <c r="D31" s="176"/>
      <c r="E31" s="177">
        <v>-342</v>
      </c>
      <c r="F31" s="178"/>
      <c r="G31" s="177">
        <v>-382</v>
      </c>
      <c r="H31" s="179">
        <v>-409</v>
      </c>
      <c r="I31" s="179">
        <v>-323</v>
      </c>
      <c r="J31" s="171">
        <v>-243</v>
      </c>
      <c r="K31" s="178"/>
      <c r="L31" s="180">
        <v>-407</v>
      </c>
      <c r="M31" s="173">
        <v>-386</v>
      </c>
      <c r="N31" s="173">
        <v>-364</v>
      </c>
      <c r="O31" s="491">
        <v>-348</v>
      </c>
      <c r="P31" s="410">
        <v>-495</v>
      </c>
      <c r="Q31" s="173">
        <v>-537</v>
      </c>
      <c r="R31" s="173">
        <v>-499</v>
      </c>
      <c r="S31" s="601"/>
      <c r="T31" s="414">
        <v>-593</v>
      </c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</row>
    <row r="32" spans="1:89" s="181" customFormat="1" ht="12" customHeight="1">
      <c r="A32" s="182" t="s">
        <v>147</v>
      </c>
      <c r="B32" s="183"/>
      <c r="C32" s="166">
        <v>22312</v>
      </c>
      <c r="D32" s="176"/>
      <c r="E32" s="177">
        <v>18724</v>
      </c>
      <c r="F32" s="178"/>
      <c r="G32" s="177">
        <v>19094</v>
      </c>
      <c r="H32" s="179">
        <v>19092</v>
      </c>
      <c r="I32" s="179">
        <v>19706</v>
      </c>
      <c r="J32" s="171">
        <v>14339</v>
      </c>
      <c r="K32" s="178"/>
      <c r="L32" s="180">
        <v>15144</v>
      </c>
      <c r="M32" s="173">
        <v>15449</v>
      </c>
      <c r="N32" s="173">
        <v>15989</v>
      </c>
      <c r="O32" s="491">
        <v>15462</v>
      </c>
      <c r="P32" s="410">
        <v>16363</v>
      </c>
      <c r="Q32" s="173">
        <v>16820</v>
      </c>
      <c r="R32" s="173">
        <v>17263</v>
      </c>
      <c r="S32" s="601"/>
      <c r="T32" s="414">
        <v>17945</v>
      </c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</row>
    <row r="33" spans="1:89" s="181" customFormat="1" ht="12" customHeight="1">
      <c r="A33" s="137" t="s">
        <v>150</v>
      </c>
      <c r="B33" s="136"/>
      <c r="C33" s="184">
        <f>+C29+C30+C31+C32</f>
        <v>24277</v>
      </c>
      <c r="D33" s="185"/>
      <c r="E33" s="184">
        <f>+E29+E30+E31+E32</f>
        <v>20279</v>
      </c>
      <c r="F33" s="186"/>
      <c r="G33" s="184">
        <f>+G29+G30+G31+G32</f>
        <v>20721</v>
      </c>
      <c r="H33" s="187">
        <f>+H29+H30+H31+H32</f>
        <v>20600</v>
      </c>
      <c r="I33" s="187">
        <f>+I29+I30+I31+I32</f>
        <v>21295</v>
      </c>
      <c r="J33" s="188">
        <f>+J29+J30+J31+J32</f>
        <v>15900</v>
      </c>
      <c r="K33" s="186"/>
      <c r="L33" s="189">
        <f aca="true" t="shared" si="6" ref="L33:Q33">+L29+L30+L31+L32</f>
        <v>16745</v>
      </c>
      <c r="M33" s="190">
        <f t="shared" si="6"/>
        <v>17150</v>
      </c>
      <c r="N33" s="190">
        <f t="shared" si="6"/>
        <v>17769</v>
      </c>
      <c r="O33" s="492">
        <f t="shared" si="6"/>
        <v>17256</v>
      </c>
      <c r="P33" s="409">
        <f t="shared" si="6"/>
        <v>17429</v>
      </c>
      <c r="Q33" s="190">
        <f t="shared" si="6"/>
        <v>17765</v>
      </c>
      <c r="R33" s="190">
        <f>+R29+R30+R31+R32</f>
        <v>18345</v>
      </c>
      <c r="S33" s="602"/>
      <c r="T33" s="3">
        <f>+T29+T30+T31+T32</f>
        <v>19045</v>
      </c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</row>
    <row r="34" spans="1:89" s="181" customFormat="1" ht="12" customHeight="1">
      <c r="A34" s="174" t="s">
        <v>157</v>
      </c>
      <c r="B34" s="175"/>
      <c r="C34" s="166">
        <v>1052</v>
      </c>
      <c r="D34" s="176"/>
      <c r="E34" s="177">
        <v>4724</v>
      </c>
      <c r="F34" s="178"/>
      <c r="G34" s="177">
        <v>4268</v>
      </c>
      <c r="H34" s="179">
        <v>5678</v>
      </c>
      <c r="I34" s="179">
        <v>6339</v>
      </c>
      <c r="J34" s="171">
        <v>6423</v>
      </c>
      <c r="K34" s="178"/>
      <c r="L34" s="180">
        <v>5480</v>
      </c>
      <c r="M34" s="173">
        <v>5382</v>
      </c>
      <c r="N34" s="173">
        <v>5684</v>
      </c>
      <c r="O34" s="491">
        <v>6085</v>
      </c>
      <c r="P34" s="410">
        <v>5863</v>
      </c>
      <c r="Q34" s="173">
        <v>7343</v>
      </c>
      <c r="R34" s="173">
        <v>7012</v>
      </c>
      <c r="S34" s="601"/>
      <c r="T34" s="35">
        <v>6758</v>
      </c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</row>
    <row r="35" spans="1:89" s="181" customFormat="1" ht="12" customHeight="1">
      <c r="A35" s="174" t="s">
        <v>129</v>
      </c>
      <c r="B35" s="175"/>
      <c r="C35" s="166">
        <v>122</v>
      </c>
      <c r="D35" s="198"/>
      <c r="E35" s="177">
        <v>158</v>
      </c>
      <c r="F35" s="178"/>
      <c r="G35" s="177">
        <v>88</v>
      </c>
      <c r="H35" s="179">
        <v>108</v>
      </c>
      <c r="I35" s="179">
        <v>37</v>
      </c>
      <c r="J35" s="171">
        <v>149</v>
      </c>
      <c r="K35" s="178"/>
      <c r="L35" s="180">
        <v>51</v>
      </c>
      <c r="M35" s="173">
        <v>28</v>
      </c>
      <c r="N35" s="173">
        <v>76</v>
      </c>
      <c r="O35" s="491">
        <v>84</v>
      </c>
      <c r="P35" s="410">
        <v>80</v>
      </c>
      <c r="Q35" s="173">
        <v>97</v>
      </c>
      <c r="R35" s="173">
        <v>82</v>
      </c>
      <c r="S35" s="601"/>
      <c r="T35" s="6">
        <v>68</v>
      </c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</row>
    <row r="36" spans="1:89" s="181" customFormat="1" ht="12" customHeight="1">
      <c r="A36" s="174" t="s">
        <v>152</v>
      </c>
      <c r="B36" s="175"/>
      <c r="C36" s="166">
        <v>1842</v>
      </c>
      <c r="D36" s="176"/>
      <c r="E36" s="177">
        <v>1803</v>
      </c>
      <c r="F36" s="178"/>
      <c r="G36" s="177">
        <v>1840</v>
      </c>
      <c r="H36" s="179">
        <v>1879</v>
      </c>
      <c r="I36" s="179">
        <v>1818</v>
      </c>
      <c r="J36" s="171">
        <v>1683</v>
      </c>
      <c r="K36" s="178"/>
      <c r="L36" s="180">
        <v>1877</v>
      </c>
      <c r="M36" s="173">
        <v>1884</v>
      </c>
      <c r="N36" s="173">
        <v>1877</v>
      </c>
      <c r="O36" s="491">
        <v>1879</v>
      </c>
      <c r="P36" s="410">
        <v>2049</v>
      </c>
      <c r="Q36" s="173">
        <v>2139</v>
      </c>
      <c r="R36" s="173">
        <v>2125</v>
      </c>
      <c r="S36" s="601"/>
      <c r="T36" s="6">
        <v>2235</v>
      </c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</row>
    <row r="37" spans="1:89" s="181" customFormat="1" ht="24" customHeight="1">
      <c r="A37" s="174" t="s">
        <v>153</v>
      </c>
      <c r="B37" s="175"/>
      <c r="C37" s="166">
        <v>992</v>
      </c>
      <c r="D37" s="176"/>
      <c r="E37" s="177">
        <v>873</v>
      </c>
      <c r="F37" s="178"/>
      <c r="G37" s="177">
        <v>951</v>
      </c>
      <c r="H37" s="179">
        <v>917</v>
      </c>
      <c r="I37" s="179">
        <v>889</v>
      </c>
      <c r="J37" s="171">
        <v>761</v>
      </c>
      <c r="K37" s="178"/>
      <c r="L37" s="180">
        <v>845</v>
      </c>
      <c r="M37" s="173">
        <v>855</v>
      </c>
      <c r="N37" s="173">
        <v>792</v>
      </c>
      <c r="O37" s="491">
        <v>797</v>
      </c>
      <c r="P37" s="410">
        <v>794</v>
      </c>
      <c r="Q37" s="173">
        <v>844</v>
      </c>
      <c r="R37" s="173">
        <v>791</v>
      </c>
      <c r="S37" s="601"/>
      <c r="T37" s="35">
        <v>980</v>
      </c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</row>
    <row r="38" spans="1:89" s="181" customFormat="1" ht="12" customHeight="1">
      <c r="A38" s="174" t="s">
        <v>155</v>
      </c>
      <c r="B38" s="175"/>
      <c r="C38" s="166">
        <v>187</v>
      </c>
      <c r="D38" s="176"/>
      <c r="E38" s="177">
        <v>198</v>
      </c>
      <c r="F38" s="178"/>
      <c r="G38" s="177">
        <v>192</v>
      </c>
      <c r="H38" s="179">
        <v>191</v>
      </c>
      <c r="I38" s="179">
        <v>208</v>
      </c>
      <c r="J38" s="171">
        <v>229</v>
      </c>
      <c r="K38" s="178"/>
      <c r="L38" s="180">
        <v>219</v>
      </c>
      <c r="M38" s="173">
        <v>209</v>
      </c>
      <c r="N38" s="173">
        <v>209</v>
      </c>
      <c r="O38" s="491">
        <v>207</v>
      </c>
      <c r="P38" s="410">
        <v>211</v>
      </c>
      <c r="Q38" s="173">
        <v>196</v>
      </c>
      <c r="R38" s="173">
        <v>202</v>
      </c>
      <c r="S38" s="601"/>
      <c r="T38" s="414">
        <v>199</v>
      </c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</row>
    <row r="39" spans="1:89" s="181" customFormat="1" ht="12" customHeight="1">
      <c r="A39" s="182" t="s">
        <v>156</v>
      </c>
      <c r="B39" s="183"/>
      <c r="C39" s="177">
        <f>+C34+C35+C36+C37+C38</f>
        <v>4195</v>
      </c>
      <c r="D39" s="176"/>
      <c r="E39" s="177">
        <f>+E34+E35+E36+E37+E38</f>
        <v>7756</v>
      </c>
      <c r="F39" s="178"/>
      <c r="G39" s="177">
        <f>+G34+G35+G36+G37+G38</f>
        <v>7339</v>
      </c>
      <c r="H39" s="179">
        <f>+H34+H35+H36+H37+H38</f>
        <v>8773</v>
      </c>
      <c r="I39" s="179">
        <f>+I34+I35+I36+I37+I38</f>
        <v>9291</v>
      </c>
      <c r="J39" s="171">
        <f>+J34+J35+J36+J37+J38</f>
        <v>9245</v>
      </c>
      <c r="K39" s="178"/>
      <c r="L39" s="180">
        <f>+L34+L35+L36+L37+L38</f>
        <v>8472</v>
      </c>
      <c r="M39" s="173">
        <f>+M34+M35+M36+M37+M38</f>
        <v>8358</v>
      </c>
      <c r="N39" s="173">
        <v>8638</v>
      </c>
      <c r="O39" s="491">
        <f>SUM(O34:O38)</f>
        <v>9052</v>
      </c>
      <c r="P39" s="410">
        <f>+P34+P35+P36+P37+P38</f>
        <v>8997</v>
      </c>
      <c r="Q39" s="173">
        <f>+Q34+Q35+Q36+Q37+Q38</f>
        <v>10619</v>
      </c>
      <c r="R39" s="173">
        <f>+R34+R35+R36+R37+R38</f>
        <v>10212</v>
      </c>
      <c r="S39" s="601"/>
      <c r="T39" s="414">
        <f>+T34+T35+T36+T37+T38</f>
        <v>10240</v>
      </c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</row>
    <row r="40" spans="1:89" s="181" customFormat="1" ht="12" customHeight="1">
      <c r="A40" s="174" t="s">
        <v>157</v>
      </c>
      <c r="B40" s="175"/>
      <c r="C40" s="166">
        <v>1056</v>
      </c>
      <c r="D40" s="176"/>
      <c r="E40" s="177">
        <v>2098</v>
      </c>
      <c r="F40" s="178"/>
      <c r="G40" s="177">
        <v>2962</v>
      </c>
      <c r="H40" s="179">
        <v>2250</v>
      </c>
      <c r="I40" s="179">
        <v>1419</v>
      </c>
      <c r="J40" s="171">
        <v>1509</v>
      </c>
      <c r="K40" s="178"/>
      <c r="L40" s="180">
        <v>2041</v>
      </c>
      <c r="M40" s="173">
        <v>1601</v>
      </c>
      <c r="N40" s="173">
        <v>1398</v>
      </c>
      <c r="O40" s="491">
        <v>923</v>
      </c>
      <c r="P40" s="410">
        <v>1627</v>
      </c>
      <c r="Q40" s="173">
        <v>1112</v>
      </c>
      <c r="R40" s="173">
        <v>1053</v>
      </c>
      <c r="S40" s="601"/>
      <c r="T40" s="414">
        <v>1035</v>
      </c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</row>
    <row r="41" spans="1:89" s="181" customFormat="1" ht="12" customHeight="1">
      <c r="A41" s="174" t="s">
        <v>199</v>
      </c>
      <c r="B41" s="175"/>
      <c r="C41" s="166">
        <v>0</v>
      </c>
      <c r="D41" s="176"/>
      <c r="E41" s="177">
        <v>0</v>
      </c>
      <c r="F41" s="178"/>
      <c r="G41" s="177">
        <v>0</v>
      </c>
      <c r="H41" s="179">
        <v>0</v>
      </c>
      <c r="I41" s="179">
        <v>0</v>
      </c>
      <c r="J41" s="171">
        <v>0</v>
      </c>
      <c r="K41" s="178"/>
      <c r="L41" s="180">
        <v>0</v>
      </c>
      <c r="M41" s="173">
        <v>227</v>
      </c>
      <c r="N41" s="173">
        <v>160</v>
      </c>
      <c r="O41" s="491">
        <v>160</v>
      </c>
      <c r="P41" s="410">
        <v>220</v>
      </c>
      <c r="Q41" s="173">
        <v>120</v>
      </c>
      <c r="R41" s="173">
        <v>110</v>
      </c>
      <c r="S41" s="601"/>
      <c r="T41" s="6">
        <v>80</v>
      </c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</row>
    <row r="42" spans="1:89" s="181" customFormat="1" ht="12" customHeight="1">
      <c r="A42" s="174" t="s">
        <v>129</v>
      </c>
      <c r="B42" s="175"/>
      <c r="C42" s="166">
        <v>36</v>
      </c>
      <c r="D42" s="176"/>
      <c r="E42" s="177">
        <v>48</v>
      </c>
      <c r="F42" s="178"/>
      <c r="G42" s="177">
        <v>25</v>
      </c>
      <c r="H42" s="179">
        <v>75</v>
      </c>
      <c r="I42" s="179">
        <v>39</v>
      </c>
      <c r="J42" s="171">
        <v>189</v>
      </c>
      <c r="K42" s="178"/>
      <c r="L42" s="180">
        <v>46</v>
      </c>
      <c r="M42" s="173">
        <v>9</v>
      </c>
      <c r="N42" s="173">
        <v>20</v>
      </c>
      <c r="O42" s="491">
        <v>74</v>
      </c>
      <c r="P42" s="410">
        <v>36</v>
      </c>
      <c r="Q42" s="173">
        <v>16</v>
      </c>
      <c r="R42" s="173">
        <v>11</v>
      </c>
      <c r="S42" s="601"/>
      <c r="T42" s="30">
        <v>13</v>
      </c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</row>
    <row r="43" spans="1:89" s="181" customFormat="1" ht="12" customHeight="1">
      <c r="A43" s="174" t="s">
        <v>158</v>
      </c>
      <c r="B43" s="175"/>
      <c r="C43" s="166">
        <v>1109</v>
      </c>
      <c r="D43" s="176"/>
      <c r="E43" s="177">
        <v>1318</v>
      </c>
      <c r="F43" s="178"/>
      <c r="G43" s="177">
        <v>1192</v>
      </c>
      <c r="H43" s="179">
        <v>1151</v>
      </c>
      <c r="I43" s="179">
        <v>1271</v>
      </c>
      <c r="J43" s="171">
        <v>1372</v>
      </c>
      <c r="K43" s="178"/>
      <c r="L43" s="180">
        <v>1298</v>
      </c>
      <c r="M43" s="173">
        <v>1506</v>
      </c>
      <c r="N43" s="173">
        <v>1446</v>
      </c>
      <c r="O43" s="491">
        <v>1719</v>
      </c>
      <c r="P43" s="410">
        <v>1321</v>
      </c>
      <c r="Q43" s="173">
        <v>1145</v>
      </c>
      <c r="R43" s="173">
        <v>1452</v>
      </c>
      <c r="S43" s="601"/>
      <c r="T43" s="6">
        <v>1920</v>
      </c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</row>
    <row r="44" spans="1:89" s="181" customFormat="1" ht="12" customHeight="1">
      <c r="A44" s="174" t="s">
        <v>152</v>
      </c>
      <c r="B44" s="175"/>
      <c r="C44" s="166">
        <v>584</v>
      </c>
      <c r="D44" s="176"/>
      <c r="E44" s="177">
        <v>577</v>
      </c>
      <c r="F44" s="178"/>
      <c r="G44" s="177">
        <v>640</v>
      </c>
      <c r="H44" s="179">
        <v>769</v>
      </c>
      <c r="I44" s="179">
        <v>588</v>
      </c>
      <c r="J44" s="171">
        <v>628</v>
      </c>
      <c r="K44" s="178"/>
      <c r="L44" s="180">
        <v>736</v>
      </c>
      <c r="M44" s="173">
        <v>560</v>
      </c>
      <c r="N44" s="173">
        <v>655</v>
      </c>
      <c r="O44" s="491">
        <v>649</v>
      </c>
      <c r="P44" s="410">
        <v>759</v>
      </c>
      <c r="Q44" s="173">
        <v>614</v>
      </c>
      <c r="R44" s="173">
        <v>709</v>
      </c>
      <c r="S44" s="601"/>
      <c r="T44" s="35">
        <v>611</v>
      </c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</row>
    <row r="45" spans="1:89" s="181" customFormat="1" ht="12" customHeight="1">
      <c r="A45" s="174" t="s">
        <v>159</v>
      </c>
      <c r="B45" s="175"/>
      <c r="C45" s="166">
        <v>522</v>
      </c>
      <c r="D45" s="176"/>
      <c r="E45" s="177">
        <v>450</v>
      </c>
      <c r="F45" s="178"/>
      <c r="G45" s="177">
        <v>341</v>
      </c>
      <c r="H45" s="179">
        <v>542</v>
      </c>
      <c r="I45" s="179">
        <v>418</v>
      </c>
      <c r="J45" s="171">
        <v>636</v>
      </c>
      <c r="K45" s="178"/>
      <c r="L45" s="180">
        <v>452</v>
      </c>
      <c r="M45" s="173">
        <v>473</v>
      </c>
      <c r="N45" s="173">
        <v>331</v>
      </c>
      <c r="O45" s="491">
        <v>416</v>
      </c>
      <c r="P45" s="410">
        <v>428</v>
      </c>
      <c r="Q45" s="173">
        <v>593</v>
      </c>
      <c r="R45" s="173">
        <v>377</v>
      </c>
      <c r="S45" s="601"/>
      <c r="T45" s="414">
        <v>405</v>
      </c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</row>
    <row r="46" spans="1:89" s="181" customFormat="1" ht="12" customHeight="1">
      <c r="A46" s="174" t="s">
        <v>155</v>
      </c>
      <c r="B46" s="175"/>
      <c r="C46" s="166">
        <v>533</v>
      </c>
      <c r="D46" s="176"/>
      <c r="E46" s="177">
        <v>594</v>
      </c>
      <c r="F46" s="178"/>
      <c r="G46" s="177">
        <v>604</v>
      </c>
      <c r="H46" s="179">
        <v>853</v>
      </c>
      <c r="I46" s="179">
        <v>745</v>
      </c>
      <c r="J46" s="171">
        <v>621</v>
      </c>
      <c r="K46" s="178"/>
      <c r="L46" s="180">
        <v>758</v>
      </c>
      <c r="M46" s="173">
        <v>844</v>
      </c>
      <c r="N46" s="173">
        <v>915</v>
      </c>
      <c r="O46" s="491">
        <v>698</v>
      </c>
      <c r="P46" s="410">
        <v>663</v>
      </c>
      <c r="Q46" s="173">
        <v>755</v>
      </c>
      <c r="R46" s="173">
        <f>201+535</f>
        <v>736</v>
      </c>
      <c r="S46" s="601"/>
      <c r="T46" s="6">
        <v>901</v>
      </c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</row>
    <row r="47" spans="1:89" s="181" customFormat="1" ht="12" customHeight="1">
      <c r="A47" s="182" t="s">
        <v>160</v>
      </c>
      <c r="B47" s="183"/>
      <c r="C47" s="177">
        <f>+C40+C42+C43+C44+C45+C46</f>
        <v>3840</v>
      </c>
      <c r="D47" s="176"/>
      <c r="E47" s="177">
        <f>+E40+E42+E43+E44+E45+E46</f>
        <v>5085</v>
      </c>
      <c r="F47" s="178"/>
      <c r="G47" s="177">
        <f>+G40+G42+G43+G44+G45+G46</f>
        <v>5764</v>
      </c>
      <c r="H47" s="179">
        <f>+H40+H42+H43+H44+H45+H46</f>
        <v>5640</v>
      </c>
      <c r="I47" s="179">
        <f>+I40+I42+I43+I44+I45+I46</f>
        <v>4480</v>
      </c>
      <c r="J47" s="171">
        <f>+J40+J42+J43+J44+J45+J46</f>
        <v>4955</v>
      </c>
      <c r="K47" s="178"/>
      <c r="L47" s="180">
        <f>+L40+L42+L43+L44+L45+L46</f>
        <v>5331</v>
      </c>
      <c r="M47" s="173">
        <f>+M40+M41+M42+M43+M44+M45+M46</f>
        <v>5220</v>
      </c>
      <c r="N47" s="173">
        <f>+N40+N41+N42+N43+N44+N45+N46</f>
        <v>4925</v>
      </c>
      <c r="O47" s="491">
        <f>+O40+O41+O42+O43+O44+O45+O46</f>
        <v>4639</v>
      </c>
      <c r="P47" s="410">
        <f>+P40+P42+P43+P44+P45+P46+P41</f>
        <v>5054</v>
      </c>
      <c r="Q47" s="173">
        <f>+Q40+Q42+Q43+Q44+Q45+Q46+Q41</f>
        <v>4355</v>
      </c>
      <c r="R47" s="173">
        <f>+R40+R42+R43+R44+R45+R46+R41</f>
        <v>4448</v>
      </c>
      <c r="S47" s="601"/>
      <c r="T47" s="35">
        <f>+T40+T42+T43+T44+T45+T46+T41</f>
        <v>4965</v>
      </c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</row>
    <row r="48" spans="1:89" s="181" customFormat="1" ht="12" customHeight="1">
      <c r="A48" s="137" t="s">
        <v>161</v>
      </c>
      <c r="B48" s="136"/>
      <c r="C48" s="184">
        <f>C47+C39</f>
        <v>8035</v>
      </c>
      <c r="D48" s="185"/>
      <c r="E48" s="184">
        <f>E47+E39</f>
        <v>12841</v>
      </c>
      <c r="F48" s="186"/>
      <c r="G48" s="184">
        <f>G47+G39</f>
        <v>13103</v>
      </c>
      <c r="H48" s="187">
        <f>H47+H39</f>
        <v>14413</v>
      </c>
      <c r="I48" s="187">
        <f>I47+I39</f>
        <v>13771</v>
      </c>
      <c r="J48" s="188">
        <f>J47+J39</f>
        <v>14200</v>
      </c>
      <c r="K48" s="186"/>
      <c r="L48" s="189">
        <f aca="true" t="shared" si="7" ref="L48:Q48">L47+L39</f>
        <v>13803</v>
      </c>
      <c r="M48" s="190">
        <f t="shared" si="7"/>
        <v>13578</v>
      </c>
      <c r="N48" s="190">
        <f t="shared" si="7"/>
        <v>13563</v>
      </c>
      <c r="O48" s="492">
        <f t="shared" si="7"/>
        <v>13691</v>
      </c>
      <c r="P48" s="409">
        <f t="shared" si="7"/>
        <v>14051</v>
      </c>
      <c r="Q48" s="190">
        <f t="shared" si="7"/>
        <v>14974</v>
      </c>
      <c r="R48" s="190">
        <f>R47+R39</f>
        <v>14660</v>
      </c>
      <c r="S48" s="602"/>
      <c r="T48" s="415">
        <f>T47+T39</f>
        <v>15205</v>
      </c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</row>
    <row r="49" spans="1:89" s="181" customFormat="1" ht="12" customHeight="1">
      <c r="A49" s="137" t="s">
        <v>162</v>
      </c>
      <c r="B49" s="136"/>
      <c r="C49" s="184">
        <f>C48+C33</f>
        <v>32312</v>
      </c>
      <c r="D49" s="185"/>
      <c r="E49" s="184">
        <f>E48+E33</f>
        <v>33120</v>
      </c>
      <c r="F49" s="186"/>
      <c r="G49" s="184">
        <f>G48+G33</f>
        <v>33824</v>
      </c>
      <c r="H49" s="187">
        <f>H48+H33</f>
        <v>35013</v>
      </c>
      <c r="I49" s="187">
        <f>I48+I33</f>
        <v>35066</v>
      </c>
      <c r="J49" s="188">
        <f>J48+J33</f>
        <v>30100</v>
      </c>
      <c r="K49" s="186"/>
      <c r="L49" s="189">
        <f aca="true" t="shared" si="8" ref="L49:Q49">L48+L33</f>
        <v>30548</v>
      </c>
      <c r="M49" s="190">
        <f t="shared" si="8"/>
        <v>30728</v>
      </c>
      <c r="N49" s="190">
        <f t="shared" si="8"/>
        <v>31332</v>
      </c>
      <c r="O49" s="492">
        <f t="shared" si="8"/>
        <v>30947</v>
      </c>
      <c r="P49" s="409">
        <f t="shared" si="8"/>
        <v>31480</v>
      </c>
      <c r="Q49" s="190">
        <f t="shared" si="8"/>
        <v>32739</v>
      </c>
      <c r="R49" s="190">
        <f>R48+R33</f>
        <v>33005</v>
      </c>
      <c r="S49" s="413"/>
      <c r="T49" s="3">
        <f>T48+T33</f>
        <v>34250</v>
      </c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</row>
    <row r="50" spans="3:11" ht="12" customHeight="1">
      <c r="C50" s="200"/>
      <c r="D50" s="201"/>
      <c r="E50" s="202"/>
      <c r="F50" s="203"/>
      <c r="G50" s="202"/>
      <c r="H50" s="202"/>
      <c r="I50" s="202"/>
      <c r="J50" s="200"/>
      <c r="K50" s="203"/>
    </row>
    <row r="51" spans="3:11" ht="11.25">
      <c r="C51" s="200"/>
      <c r="E51" s="200"/>
      <c r="F51" s="204"/>
      <c r="G51" s="200"/>
      <c r="H51" s="200"/>
      <c r="I51" s="200"/>
      <c r="J51" s="200"/>
      <c r="K51" s="20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V21"/>
  <sheetViews>
    <sheetView zoomScale="110" zoomScaleNormal="110" zoomScalePageLayoutView="0" workbookViewId="0" topLeftCell="A1">
      <selection activeCell="V2" sqref="V2"/>
    </sheetView>
  </sheetViews>
  <sheetFormatPr defaultColWidth="9.140625" defaultRowHeight="12.75"/>
  <cols>
    <col min="2" max="2" width="40.00390625" style="0" customWidth="1"/>
  </cols>
  <sheetData>
    <row r="1" ht="13.5" thickBot="1"/>
    <row r="2" spans="2:22" ht="30" thickBot="1">
      <c r="B2" s="322" t="s">
        <v>200</v>
      </c>
      <c r="C2" s="356">
        <v>2015</v>
      </c>
      <c r="D2" s="357" t="s">
        <v>216</v>
      </c>
      <c r="E2" s="358" t="s">
        <v>217</v>
      </c>
      <c r="F2" s="358" t="s">
        <v>218</v>
      </c>
      <c r="G2" s="371" t="s">
        <v>219</v>
      </c>
      <c r="H2" s="377">
        <v>2016</v>
      </c>
      <c r="I2" s="374" t="s">
        <v>25</v>
      </c>
      <c r="J2" s="359" t="s">
        <v>221</v>
      </c>
      <c r="K2" s="358" t="s">
        <v>222</v>
      </c>
      <c r="L2" s="358" t="s">
        <v>223</v>
      </c>
      <c r="M2" s="358" t="s">
        <v>224</v>
      </c>
      <c r="N2" s="377">
        <v>2017</v>
      </c>
      <c r="O2" s="374" t="s">
        <v>225</v>
      </c>
      <c r="P2" s="563" t="s">
        <v>226</v>
      </c>
      <c r="Q2" s="386" t="s">
        <v>227</v>
      </c>
      <c r="R2" s="614" t="s">
        <v>228</v>
      </c>
      <c r="S2" s="564" t="s">
        <v>39</v>
      </c>
      <c r="T2" s="603" t="s">
        <v>229</v>
      </c>
      <c r="U2" s="564">
        <v>2018</v>
      </c>
      <c r="V2" s="603" t="s">
        <v>230</v>
      </c>
    </row>
    <row r="3" spans="2:22" ht="12.75">
      <c r="B3" s="323" t="s">
        <v>22</v>
      </c>
      <c r="C3" s="363"/>
      <c r="D3" s="364"/>
      <c r="E3" s="365"/>
      <c r="F3" s="365"/>
      <c r="G3" s="372"/>
      <c r="H3" s="378"/>
      <c r="I3" s="375"/>
      <c r="J3" s="366"/>
      <c r="K3" s="367"/>
      <c r="L3" s="365"/>
      <c r="M3" s="365"/>
      <c r="N3" s="378"/>
      <c r="O3" s="549"/>
      <c r="P3" s="560"/>
      <c r="Q3" s="561"/>
      <c r="R3" s="615"/>
      <c r="S3" s="562"/>
      <c r="T3" s="324"/>
      <c r="U3" s="622"/>
      <c r="V3" s="324"/>
    </row>
    <row r="4" spans="2:22" ht="12.75">
      <c r="B4" s="325" t="s">
        <v>201</v>
      </c>
      <c r="C4" s="326">
        <v>574.3</v>
      </c>
      <c r="D4" s="327">
        <v>128.1</v>
      </c>
      <c r="E4" s="328">
        <v>134.9</v>
      </c>
      <c r="F4" s="328">
        <v>137.7</v>
      </c>
      <c r="G4" s="329">
        <v>135</v>
      </c>
      <c r="H4" s="370">
        <v>535.6</v>
      </c>
      <c r="I4" s="376">
        <f aca="true" t="shared" si="0" ref="I4:I9">H4/C4-1</f>
        <v>-0.06738638342329784</v>
      </c>
      <c r="J4" s="332">
        <v>130.6</v>
      </c>
      <c r="K4" s="328">
        <v>133.6</v>
      </c>
      <c r="L4" s="328">
        <v>135.6</v>
      </c>
      <c r="M4" s="328">
        <v>122.2</v>
      </c>
      <c r="N4" s="370">
        <v>522</v>
      </c>
      <c r="O4" s="541">
        <f aca="true" t="shared" si="1" ref="O4:O9">N4/H4-1</f>
        <v>-0.025392083644510843</v>
      </c>
      <c r="P4" s="327">
        <v>110.8</v>
      </c>
      <c r="Q4" s="328">
        <v>116.7</v>
      </c>
      <c r="R4" s="616">
        <v>138.9</v>
      </c>
      <c r="S4" s="546">
        <v>135.4</v>
      </c>
      <c r="T4" s="428">
        <f aca="true" t="shared" si="2" ref="T4:T9">S4/M4-1</f>
        <v>0.10801963993453367</v>
      </c>
      <c r="U4" s="623">
        <v>501.8</v>
      </c>
      <c r="V4" s="428">
        <f>U4/N4-1</f>
        <v>-0.03869731800766285</v>
      </c>
    </row>
    <row r="5" spans="2:22" ht="12.75">
      <c r="B5" s="325" t="s">
        <v>202</v>
      </c>
      <c r="C5" s="326">
        <v>263.7</v>
      </c>
      <c r="D5" s="327">
        <v>66.7</v>
      </c>
      <c r="E5" s="328">
        <v>72.3</v>
      </c>
      <c r="F5" s="328">
        <v>73.3</v>
      </c>
      <c r="G5" s="329">
        <v>55.1</v>
      </c>
      <c r="H5" s="370">
        <v>267.4</v>
      </c>
      <c r="I5" s="376">
        <f t="shared" si="0"/>
        <v>0.014031095942358629</v>
      </c>
      <c r="J5" s="332">
        <v>69.7</v>
      </c>
      <c r="K5" s="328">
        <v>67.3</v>
      </c>
      <c r="L5" s="328">
        <v>73.6</v>
      </c>
      <c r="M5" s="328">
        <v>47.3</v>
      </c>
      <c r="N5" s="370">
        <v>257.9</v>
      </c>
      <c r="O5" s="541">
        <f t="shared" si="1"/>
        <v>-0.035527299925205647</v>
      </c>
      <c r="P5" s="327">
        <v>66.2</v>
      </c>
      <c r="Q5" s="328">
        <v>65.9</v>
      </c>
      <c r="R5" s="616">
        <v>72</v>
      </c>
      <c r="S5" s="546">
        <v>62.3</v>
      </c>
      <c r="T5" s="428">
        <f t="shared" si="2"/>
        <v>0.31712473572938693</v>
      </c>
      <c r="U5" s="623">
        <v>266.4</v>
      </c>
      <c r="V5" s="428">
        <f aca="true" t="shared" si="3" ref="V5:V17">U5/N5-1</f>
        <v>0.032958511050794836</v>
      </c>
    </row>
    <row r="6" spans="2:22" ht="12.75">
      <c r="B6" s="325" t="s">
        <v>203</v>
      </c>
      <c r="C6" s="326">
        <v>12.7</v>
      </c>
      <c r="D6" s="327">
        <v>3.4</v>
      </c>
      <c r="E6" s="328">
        <v>2.8</v>
      </c>
      <c r="F6" s="328">
        <v>3.6</v>
      </c>
      <c r="G6" s="329">
        <v>3.1</v>
      </c>
      <c r="H6" s="370">
        <v>13</v>
      </c>
      <c r="I6" s="376">
        <f t="shared" si="0"/>
        <v>0.023622047244094446</v>
      </c>
      <c r="J6" s="332">
        <v>4.3</v>
      </c>
      <c r="K6" s="328">
        <v>3.7</v>
      </c>
      <c r="L6" s="328">
        <v>4.1</v>
      </c>
      <c r="M6" s="328">
        <v>1.6</v>
      </c>
      <c r="N6" s="370">
        <v>13.7</v>
      </c>
      <c r="O6" s="541">
        <f t="shared" si="1"/>
        <v>0.05384615384615388</v>
      </c>
      <c r="P6" s="327">
        <v>3.9</v>
      </c>
      <c r="Q6" s="328">
        <v>4.3</v>
      </c>
      <c r="R6" s="616">
        <v>3.9</v>
      </c>
      <c r="S6" s="546">
        <v>3.7</v>
      </c>
      <c r="T6" s="428">
        <f t="shared" si="2"/>
        <v>1.3125</v>
      </c>
      <c r="U6" s="623">
        <v>15.8</v>
      </c>
      <c r="V6" s="428">
        <f t="shared" si="3"/>
        <v>0.15328467153284686</v>
      </c>
    </row>
    <row r="7" spans="2:22" ht="12.75">
      <c r="B7" s="325" t="s">
        <v>204</v>
      </c>
      <c r="C7" s="326">
        <v>1283</v>
      </c>
      <c r="D7" s="327">
        <v>295</v>
      </c>
      <c r="E7" s="328">
        <v>272</v>
      </c>
      <c r="F7" s="328">
        <v>321</v>
      </c>
      <c r="G7" s="329">
        <v>303</v>
      </c>
      <c r="H7" s="370">
        <v>1191</v>
      </c>
      <c r="I7" s="376">
        <f t="shared" si="0"/>
        <v>-0.07170693686671858</v>
      </c>
      <c r="J7" s="332">
        <v>293.5</v>
      </c>
      <c r="K7" s="328">
        <v>298.4</v>
      </c>
      <c r="L7" s="328">
        <v>323.8</v>
      </c>
      <c r="M7" s="328">
        <v>302.5</v>
      </c>
      <c r="N7" s="370">
        <v>1218.2</v>
      </c>
      <c r="O7" s="541">
        <f t="shared" si="1"/>
        <v>0.022837951301427406</v>
      </c>
      <c r="P7" s="327">
        <v>239.3</v>
      </c>
      <c r="Q7" s="328">
        <v>239.1</v>
      </c>
      <c r="R7" s="616">
        <v>357.8</v>
      </c>
      <c r="S7" s="546">
        <v>352.6</v>
      </c>
      <c r="T7" s="428">
        <f t="shared" si="2"/>
        <v>0.16561983471074382</v>
      </c>
      <c r="U7" s="623">
        <v>1188.8</v>
      </c>
      <c r="V7" s="428">
        <f t="shared" si="3"/>
        <v>-0.024133968149729235</v>
      </c>
    </row>
    <row r="8" spans="2:22" ht="12.75">
      <c r="B8" s="325" t="s">
        <v>205</v>
      </c>
      <c r="C8" s="326">
        <v>86.9</v>
      </c>
      <c r="D8" s="327">
        <v>26.2</v>
      </c>
      <c r="E8" s="328">
        <v>27.3</v>
      </c>
      <c r="F8" s="328">
        <v>30.7</v>
      </c>
      <c r="G8" s="329">
        <v>29.6</v>
      </c>
      <c r="H8" s="370">
        <v>113.8</v>
      </c>
      <c r="I8" s="376">
        <f t="shared" si="0"/>
        <v>0.3095512082853853</v>
      </c>
      <c r="J8" s="332">
        <v>33.5</v>
      </c>
      <c r="K8" s="328">
        <v>21.9</v>
      </c>
      <c r="L8" s="328">
        <v>31.3</v>
      </c>
      <c r="M8" s="328">
        <v>30.64</v>
      </c>
      <c r="N8" s="370">
        <v>117.3</v>
      </c>
      <c r="O8" s="541">
        <f t="shared" si="1"/>
        <v>0.03075571177504388</v>
      </c>
      <c r="P8" s="327">
        <v>18.3</v>
      </c>
      <c r="Q8" s="328">
        <v>20.1</v>
      </c>
      <c r="R8" s="616">
        <v>23.7</v>
      </c>
      <c r="S8" s="546">
        <v>21.1</v>
      </c>
      <c r="T8" s="428">
        <f t="shared" si="2"/>
        <v>-0.31135770234986937</v>
      </c>
      <c r="U8" s="623">
        <v>83.2</v>
      </c>
      <c r="V8" s="428">
        <f t="shared" si="3"/>
        <v>-0.29070758738277913</v>
      </c>
    </row>
    <row r="9" spans="2:22" ht="13.5" thickBot="1">
      <c r="B9" s="325" t="s">
        <v>206</v>
      </c>
      <c r="C9" s="335">
        <v>29.3</v>
      </c>
      <c r="D9" s="336">
        <v>8</v>
      </c>
      <c r="E9" s="337">
        <v>7.8</v>
      </c>
      <c r="F9" s="337">
        <v>6.3</v>
      </c>
      <c r="G9" s="338">
        <v>8</v>
      </c>
      <c r="H9" s="379">
        <v>30.1</v>
      </c>
      <c r="I9" s="408">
        <f t="shared" si="0"/>
        <v>0.027303754266211566</v>
      </c>
      <c r="J9" s="349">
        <v>7.8</v>
      </c>
      <c r="K9" s="347">
        <v>7.7</v>
      </c>
      <c r="L9" s="347">
        <v>6.3</v>
      </c>
      <c r="M9" s="347">
        <v>8.2</v>
      </c>
      <c r="N9" s="379">
        <v>30</v>
      </c>
      <c r="O9" s="550">
        <f t="shared" si="1"/>
        <v>-0.0033222591362126463</v>
      </c>
      <c r="P9" s="346">
        <v>7.5</v>
      </c>
      <c r="Q9" s="347">
        <v>7.6</v>
      </c>
      <c r="R9" s="617">
        <v>6.9</v>
      </c>
      <c r="S9" s="551">
        <v>8.2</v>
      </c>
      <c r="T9" s="437">
        <f t="shared" si="2"/>
        <v>0</v>
      </c>
      <c r="U9" s="624">
        <v>30.1</v>
      </c>
      <c r="V9" s="437">
        <f t="shared" si="3"/>
        <v>0.0033333333333334103</v>
      </c>
    </row>
    <row r="10" spans="2:22" ht="12.75">
      <c r="B10" s="323" t="s">
        <v>207</v>
      </c>
      <c r="C10" s="360"/>
      <c r="D10" s="361"/>
      <c r="E10" s="362"/>
      <c r="F10" s="362"/>
      <c r="G10" s="373"/>
      <c r="H10" s="380"/>
      <c r="I10" s="354"/>
      <c r="J10" s="355"/>
      <c r="K10" s="368"/>
      <c r="L10" s="352"/>
      <c r="M10" s="352"/>
      <c r="N10" s="544"/>
      <c r="O10" s="540"/>
      <c r="P10" s="351"/>
      <c r="Q10" s="352"/>
      <c r="R10" s="353"/>
      <c r="S10" s="610"/>
      <c r="T10" s="613"/>
      <c r="U10" s="625"/>
      <c r="V10" s="619"/>
    </row>
    <row r="11" spans="2:22" ht="12.75">
      <c r="B11" s="325" t="s">
        <v>208</v>
      </c>
      <c r="C11" s="326">
        <v>97.6</v>
      </c>
      <c r="D11" s="327">
        <v>23.7</v>
      </c>
      <c r="E11" s="328">
        <v>23.1</v>
      </c>
      <c r="F11" s="328">
        <v>22.1</v>
      </c>
      <c r="G11" s="329">
        <v>20.9</v>
      </c>
      <c r="H11" s="381">
        <v>89.8</v>
      </c>
      <c r="I11" s="404">
        <f>H11/C11-1</f>
        <v>-0.07991803278688525</v>
      </c>
      <c r="J11" s="332">
        <v>17.2</v>
      </c>
      <c r="K11" s="328">
        <v>21.5</v>
      </c>
      <c r="L11" s="328">
        <v>21.9</v>
      </c>
      <c r="M11" s="328">
        <v>20.4</v>
      </c>
      <c r="N11" s="433">
        <v>81</v>
      </c>
      <c r="O11" s="541">
        <f>N11/H11-1</f>
        <v>-0.09799554565701551</v>
      </c>
      <c r="P11" s="327">
        <v>20.1</v>
      </c>
      <c r="Q11" s="328">
        <v>22.5</v>
      </c>
      <c r="R11" s="329">
        <v>18.2</v>
      </c>
      <c r="S11" s="611">
        <v>18</v>
      </c>
      <c r="T11" s="608">
        <f>S11/M11-1</f>
        <v>-0.11764705882352933</v>
      </c>
      <c r="U11" s="626">
        <v>78.8</v>
      </c>
      <c r="V11" s="428">
        <f t="shared" si="3"/>
        <v>-0.02716049382716057</v>
      </c>
    </row>
    <row r="12" spans="2:22" ht="12.75">
      <c r="B12" s="325" t="s">
        <v>209</v>
      </c>
      <c r="C12" s="326">
        <v>2.2</v>
      </c>
      <c r="D12" s="327">
        <v>0.5</v>
      </c>
      <c r="E12" s="328">
        <v>0.6</v>
      </c>
      <c r="F12" s="328">
        <v>0.5</v>
      </c>
      <c r="G12" s="329">
        <v>0.5</v>
      </c>
      <c r="H12" s="381">
        <v>2.1</v>
      </c>
      <c r="I12" s="404">
        <f>H12/C12-1</f>
        <v>-0.045454545454545525</v>
      </c>
      <c r="J12" s="332">
        <v>0.3</v>
      </c>
      <c r="K12" s="328">
        <v>0.3</v>
      </c>
      <c r="L12" s="328">
        <v>0.3</v>
      </c>
      <c r="M12" s="328">
        <v>0.2</v>
      </c>
      <c r="N12" s="433">
        <v>1.1</v>
      </c>
      <c r="O12" s="541">
        <f>N12/H12-1</f>
        <v>-0.47619047619047616</v>
      </c>
      <c r="P12" s="327">
        <v>0.2</v>
      </c>
      <c r="Q12" s="328">
        <v>0.2</v>
      </c>
      <c r="R12" s="329">
        <v>0.3</v>
      </c>
      <c r="S12" s="611">
        <v>0.2</v>
      </c>
      <c r="T12" s="608">
        <f>S12/M12-1</f>
        <v>0</v>
      </c>
      <c r="U12" s="626">
        <v>0.9</v>
      </c>
      <c r="V12" s="428">
        <f t="shared" si="3"/>
        <v>-0.18181818181818188</v>
      </c>
    </row>
    <row r="13" spans="2:22" ht="13.5" thickBot="1">
      <c r="B13" s="325" t="s">
        <v>210</v>
      </c>
      <c r="C13" s="345">
        <v>95.3</v>
      </c>
      <c r="D13" s="346">
        <v>22.4</v>
      </c>
      <c r="E13" s="347">
        <v>24.5</v>
      </c>
      <c r="F13" s="347">
        <v>24.6</v>
      </c>
      <c r="G13" s="348">
        <v>20.6</v>
      </c>
      <c r="H13" s="382">
        <v>92.1</v>
      </c>
      <c r="I13" s="405">
        <f>H13/C13-1</f>
        <v>-0.033578174186778664</v>
      </c>
      <c r="J13" s="340">
        <v>14.5</v>
      </c>
      <c r="K13" s="337">
        <v>21.3</v>
      </c>
      <c r="L13" s="337">
        <v>19.4</v>
      </c>
      <c r="M13" s="337">
        <v>18.8</v>
      </c>
      <c r="N13" s="545">
        <v>74</v>
      </c>
      <c r="O13" s="542">
        <f>N13/H13-1</f>
        <v>-0.19652551574375676</v>
      </c>
      <c r="P13" s="336">
        <v>15.8</v>
      </c>
      <c r="Q13" s="337">
        <v>18.8</v>
      </c>
      <c r="R13" s="338">
        <v>16.7</v>
      </c>
      <c r="S13" s="612">
        <v>16.3</v>
      </c>
      <c r="T13" s="608">
        <f>S13/M13-1</f>
        <v>-0.13297872340425532</v>
      </c>
      <c r="U13" s="627">
        <v>67.6</v>
      </c>
      <c r="V13" s="620">
        <f t="shared" si="3"/>
        <v>-0.0864864864864866</v>
      </c>
    </row>
    <row r="14" spans="2:22" ht="12.75">
      <c r="B14" s="323" t="s">
        <v>27</v>
      </c>
      <c r="C14" s="350"/>
      <c r="D14" s="351"/>
      <c r="E14" s="352"/>
      <c r="F14" s="352"/>
      <c r="G14" s="353"/>
      <c r="H14" s="383"/>
      <c r="I14" s="354"/>
      <c r="J14" s="355"/>
      <c r="K14" s="368"/>
      <c r="L14" s="352"/>
      <c r="M14" s="352"/>
      <c r="N14" s="383"/>
      <c r="O14" s="540"/>
      <c r="P14" s="361"/>
      <c r="Q14" s="362"/>
      <c r="R14" s="609"/>
      <c r="S14" s="609"/>
      <c r="T14" s="400"/>
      <c r="U14" s="628"/>
      <c r="V14" s="400"/>
    </row>
    <row r="15" spans="2:22" ht="12.75">
      <c r="B15" s="325" t="s">
        <v>208</v>
      </c>
      <c r="C15" s="326">
        <v>46.3</v>
      </c>
      <c r="D15" s="327">
        <v>14.5</v>
      </c>
      <c r="E15" s="328">
        <v>12.1</v>
      </c>
      <c r="F15" s="328">
        <v>11.3</v>
      </c>
      <c r="G15" s="329">
        <v>13.6</v>
      </c>
      <c r="H15" s="381">
        <v>51.5</v>
      </c>
      <c r="I15" s="404">
        <f>H15/C15-1</f>
        <v>0.11231101511879049</v>
      </c>
      <c r="J15" s="332">
        <v>14</v>
      </c>
      <c r="K15" s="328">
        <v>13.2</v>
      </c>
      <c r="L15" s="328">
        <v>12.8</v>
      </c>
      <c r="M15" s="328">
        <v>13.4</v>
      </c>
      <c r="N15" s="381">
        <v>53.4</v>
      </c>
      <c r="O15" s="541">
        <f>N15/H15-1</f>
        <v>0.03689320388349504</v>
      </c>
      <c r="P15" s="327">
        <v>12</v>
      </c>
      <c r="Q15" s="328">
        <v>12.5</v>
      </c>
      <c r="R15" s="616">
        <v>13.6</v>
      </c>
      <c r="S15" s="546">
        <v>15.2</v>
      </c>
      <c r="T15" s="428">
        <f>S15/M15-1</f>
        <v>0.13432835820895517</v>
      </c>
      <c r="U15" s="381">
        <v>53.3</v>
      </c>
      <c r="V15" s="428">
        <f t="shared" si="3"/>
        <v>-0.0018726591760299671</v>
      </c>
    </row>
    <row r="16" spans="2:22" ht="12.75">
      <c r="B16" s="325" t="s">
        <v>211</v>
      </c>
      <c r="C16" s="326">
        <v>8.1</v>
      </c>
      <c r="D16" s="327">
        <v>4.9</v>
      </c>
      <c r="E16" s="328">
        <v>2</v>
      </c>
      <c r="F16" s="328">
        <v>2.5</v>
      </c>
      <c r="G16" s="329">
        <v>2.9</v>
      </c>
      <c r="H16" s="381">
        <v>12.2</v>
      </c>
      <c r="I16" s="404">
        <f>H16/C16-1</f>
        <v>0.5061728395061729</v>
      </c>
      <c r="J16" s="332">
        <v>4.8</v>
      </c>
      <c r="K16" s="328">
        <v>8.2</v>
      </c>
      <c r="L16" s="328">
        <v>3.4</v>
      </c>
      <c r="M16" s="328">
        <v>3.3</v>
      </c>
      <c r="N16" s="381">
        <v>19.7</v>
      </c>
      <c r="O16" s="541">
        <f>N16/H16-1</f>
        <v>0.6147540983606559</v>
      </c>
      <c r="P16" s="327">
        <v>4</v>
      </c>
      <c r="Q16" s="328">
        <v>3.7</v>
      </c>
      <c r="R16" s="616">
        <v>3</v>
      </c>
      <c r="S16" s="546">
        <v>4</v>
      </c>
      <c r="T16" s="428">
        <f>S16/M16-1</f>
        <v>0.21212121212121215</v>
      </c>
      <c r="U16" s="381">
        <v>14.7</v>
      </c>
      <c r="V16" s="428">
        <f t="shared" si="3"/>
        <v>-0.25380710659898476</v>
      </c>
    </row>
    <row r="17" spans="2:22" ht="13.5" thickBot="1">
      <c r="B17" s="325" t="s">
        <v>212</v>
      </c>
      <c r="C17" s="335">
        <v>22.8</v>
      </c>
      <c r="D17" s="336">
        <v>7.1</v>
      </c>
      <c r="E17" s="337">
        <v>4.2</v>
      </c>
      <c r="F17" s="337">
        <v>4</v>
      </c>
      <c r="G17" s="338">
        <v>7.5</v>
      </c>
      <c r="H17" s="384">
        <v>22.9</v>
      </c>
      <c r="I17" s="405">
        <f>H17/C17-1</f>
        <v>0.004385964912280604</v>
      </c>
      <c r="J17" s="340">
        <v>6.3</v>
      </c>
      <c r="K17" s="337">
        <v>7.2</v>
      </c>
      <c r="L17" s="337">
        <v>8.4</v>
      </c>
      <c r="M17" s="337">
        <v>6.1</v>
      </c>
      <c r="N17" s="384">
        <v>28</v>
      </c>
      <c r="O17" s="542">
        <f>N17/H17-1</f>
        <v>0.2227074235807862</v>
      </c>
      <c r="P17" s="336">
        <v>4.6</v>
      </c>
      <c r="Q17" s="337">
        <v>4.7</v>
      </c>
      <c r="R17" s="618">
        <v>6.5</v>
      </c>
      <c r="S17" s="547">
        <v>7.4</v>
      </c>
      <c r="T17" s="437">
        <f>S17/M17-1</f>
        <v>0.2131147540983609</v>
      </c>
      <c r="U17" s="384">
        <v>23.2</v>
      </c>
      <c r="V17" s="437">
        <f t="shared" si="3"/>
        <v>-0.17142857142857149</v>
      </c>
    </row>
    <row r="18" spans="2:13" ht="12.75">
      <c r="B18" s="342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</row>
    <row r="19" spans="2:13" ht="12.75">
      <c r="B19" s="341" t="s">
        <v>213</v>
      </c>
      <c r="C19" s="342"/>
      <c r="D19" s="342"/>
      <c r="E19" s="342"/>
      <c r="F19" s="342"/>
      <c r="G19" s="342"/>
      <c r="H19" s="342"/>
      <c r="I19" s="342"/>
      <c r="J19" s="342"/>
      <c r="K19" s="342"/>
      <c r="L19" s="342"/>
      <c r="M19" s="342"/>
    </row>
    <row r="20" spans="2:13" ht="12.75">
      <c r="B20" s="341" t="s">
        <v>214</v>
      </c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</row>
    <row r="21" spans="2:13" ht="12.75">
      <c r="B21" s="343" t="s">
        <v>215</v>
      </c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2"/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KGHM Polska Miedz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e.szkarupska</dc:creator>
  <cp:keywords/>
  <dc:description/>
  <cp:lastModifiedBy>KGHM Polska Miedź S.A.</cp:lastModifiedBy>
  <cp:lastPrinted>2019-03-13T07:56:28Z</cp:lastPrinted>
  <dcterms:created xsi:type="dcterms:W3CDTF">2005-09-12T06:47:42Z</dcterms:created>
  <dcterms:modified xsi:type="dcterms:W3CDTF">2019-03-13T12:37:32Z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2_-_dane_finansowe_grupa_kapitalowa_3q2017 do aktualizacji.xls</vt:lpwstr>
  </property>
</Properties>
</file>